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60" windowHeight="5490" activeTab="0"/>
  </bookViews>
  <sheets>
    <sheet name="Stavební rozpočet - položky" sheetId="1" r:id="rId1"/>
    <sheet name="Stavební rozpočet - součet" sheetId="2" r:id="rId2"/>
    <sheet name="Krycí list rozpočtu" sheetId="3" r:id="rId3"/>
  </sheets>
  <definedNames/>
  <calcPr fullCalcOnLoad="1"/>
</workbook>
</file>

<file path=xl/sharedStrings.xml><?xml version="1.0" encoding="utf-8"?>
<sst xmlns="http://schemas.openxmlformats.org/spreadsheetml/2006/main" count="354" uniqueCount="186">
  <si>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</si>
  <si>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</si>
  <si>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</si>
  <si>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</si>
  <si>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</si>
  <si>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</si>
  <si>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</si>
  <si>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</si>
  <si>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</si>
  <si>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</si>
  <si>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</si>
  <si>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</si>
  <si>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</si>
  <si>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</si>
  <si>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</si>
  <si>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</si>
  <si>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</si>
  <si>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</si>
  <si>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</si>
  <si>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</si>
  <si>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</si>
  <si>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</si>
  <si>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</si>
  <si>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Poznámka:</t>
  </si>
  <si>
    <t>Objekt</t>
  </si>
  <si>
    <t>Kód</t>
  </si>
  <si>
    <t>111201101R00</t>
  </si>
  <si>
    <t>111201401R00</t>
  </si>
  <si>
    <t>112101101R00</t>
  </si>
  <si>
    <t>112101222R00</t>
  </si>
  <si>
    <t>112103142R00</t>
  </si>
  <si>
    <t>112201122R00</t>
  </si>
  <si>
    <t>18</t>
  </si>
  <si>
    <t>181201101R00</t>
  </si>
  <si>
    <t>43</t>
  </si>
  <si>
    <t>434212111R00</t>
  </si>
  <si>
    <t>56</t>
  </si>
  <si>
    <t>564871111R00</t>
  </si>
  <si>
    <t>57</t>
  </si>
  <si>
    <t>571906111R00</t>
  </si>
  <si>
    <t>59</t>
  </si>
  <si>
    <t>597081110R00</t>
  </si>
  <si>
    <t>93</t>
  </si>
  <si>
    <t>936173112R00</t>
  </si>
  <si>
    <t>936124112R00</t>
  </si>
  <si>
    <t>763VD</t>
  </si>
  <si>
    <t>592891000</t>
  </si>
  <si>
    <t>58388010</t>
  </si>
  <si>
    <t>Pěší stezka "Kamenický kopec" Zákupy</t>
  </si>
  <si>
    <t>novostavba-pěší turistika</t>
  </si>
  <si>
    <t>Zákupy</t>
  </si>
  <si>
    <t>Zkrácený popis</t>
  </si>
  <si>
    <t>Rozměry</t>
  </si>
  <si>
    <t>Přípravné a přidružené práce</t>
  </si>
  <si>
    <t>Odstranění křovin i s kořeny na ploše do 1000 m2</t>
  </si>
  <si>
    <t>Spálení křovin a stromů o průměru do 100 mm</t>
  </si>
  <si>
    <t>Kácení stromů listnatých o průměru kmene 10-30 cm</t>
  </si>
  <si>
    <t>Kácení stromů jehličnatých průměru 30 cm, svah 1:5</t>
  </si>
  <si>
    <t>Kácení ve ztíž.podmínkách prům. do 30 cm, svah 1:1</t>
  </si>
  <si>
    <t>Odstranění pařezů o průměru do 30 cm, svah 1:2</t>
  </si>
  <si>
    <t>Povrchové úpravy terénu</t>
  </si>
  <si>
    <t>Úprava pláně v násypech v hor. 1-4, bez zhutnění</t>
  </si>
  <si>
    <t>Schodiště</t>
  </si>
  <si>
    <t>Schody z lom. kamene na MC 10 v opěrných zídkách</t>
  </si>
  <si>
    <t>Podkladní vrstvy komunikací, letišť a ploch</t>
  </si>
  <si>
    <t>Podklad ze štěrkodrti po zhutnění tloušťky 25 cm</t>
  </si>
  <si>
    <t>Kryty pozemních komunikací, letišť a ploch z kameniva nebo živičné</t>
  </si>
  <si>
    <t>Posyp krytu kamenivem drceným do 30 kg/m2</t>
  </si>
  <si>
    <t>Kryty pozemních komunikací, letišť a ploch dlážděných (předlažby)</t>
  </si>
  <si>
    <t>Svodnice ocelová -světlý profil 120 x 110 mm</t>
  </si>
  <si>
    <t>Různé dokončovací konstrukce a práce inženýrských staveb</t>
  </si>
  <si>
    <t>Osazení doplňkových ocel. konstrukcí do 50 kg</t>
  </si>
  <si>
    <t>Zřízení lavice stabilní se zabetonováním noh</t>
  </si>
  <si>
    <t>Dřevostavba</t>
  </si>
  <si>
    <t>Informační tabule-1 x 2 m - dřevo</t>
  </si>
  <si>
    <t>Ostatní materiál</t>
  </si>
  <si>
    <t>Lavička vymývaná/dřevo 1500/400/400</t>
  </si>
  <si>
    <t>Stupeň schod. plný 150x300x1000 rovná podstupnice</t>
  </si>
  <si>
    <t>Doba výstavby:</t>
  </si>
  <si>
    <t>Začátek výstavby:</t>
  </si>
  <si>
    <t>Konec výstavby:</t>
  </si>
  <si>
    <t>Zpracováno dne:</t>
  </si>
  <si>
    <t>M.j.</t>
  </si>
  <si>
    <t>m2</t>
  </si>
  <si>
    <t>kus</t>
  </si>
  <si>
    <t>m</t>
  </si>
  <si>
    <t>ks</t>
  </si>
  <si>
    <t>Množství</t>
  </si>
  <si>
    <t>548 dní</t>
  </si>
  <si>
    <t>02.07.2018</t>
  </si>
  <si>
    <t>31.12.2019</t>
  </si>
  <si>
    <t>28.03.2018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</si>
  <si>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</si>
  <si>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</si>
  <si>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</si>
  <si>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</si>
  <si>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</si>
  <si>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</si>
  <si>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</si>
  <si>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</si>
  <si>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</si>
  <si>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</si>
  <si>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Město Zákupy, Borská 5, Zákupy</t>
  </si>
  <si>
    <t>E. Jašková</t>
  </si>
  <si>
    <t>Jašková Eliška</t>
  </si>
  <si>
    <t>Celkem</t>
  </si>
  <si>
    <t>Hmotnost (t)</t>
  </si>
  <si>
    <t>Cenová</t>
  </si>
  <si>
    <t>soustava</t>
  </si>
  <si>
    <t>RTS II / 2017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</si>
  <si>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</si>
  <si>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</si>
  <si>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</si>
  <si>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</si>
  <si>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</si>
  <si>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</si>
  <si>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</si>
  <si>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</si>
  <si>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</si>
  <si>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</t>
  </si>
  <si>
    <t>11_</t>
  </si>
  <si>
    <t>18_</t>
  </si>
  <si>
    <t>43_</t>
  </si>
  <si>
    <t>56_</t>
  </si>
  <si>
    <t>57_</t>
  </si>
  <si>
    <t>59_</t>
  </si>
  <si>
    <t>93_</t>
  </si>
  <si>
    <t>763VD_</t>
  </si>
  <si>
    <t>Z99999_</t>
  </si>
  <si>
    <t>1_</t>
  </si>
  <si>
    <t>4_</t>
  </si>
  <si>
    <t>5_</t>
  </si>
  <si>
    <t>9_</t>
  </si>
  <si>
    <t>76_</t>
  </si>
  <si>
    <t>Z_</t>
  </si>
  <si>
    <t>_</t>
  </si>
  <si>
    <t>Slepý stavební rozpočet - rekapitulace</t>
  </si>
  <si>
    <t>Náklady (Kč) - dodávka</t>
  </si>
  <si>
    <t>Náklady (Kč) - Montáž</t>
  </si>
  <si>
    <t>Náklady (Kč) - celkem</t>
  </si>
  <si>
    <t>Celková hmotnost (t)</t>
  </si>
  <si>
    <t>T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</si>
  <si>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</si>
  <si>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</si>
  <si>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</si>
  <si>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</si>
  <si>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</si>
  <si>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</si>
  <si>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</si>
  <si>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</si>
  <si>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</si>
  <si>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</si>
  <si>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</si>
  <si>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</si>
  <si>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</si>
  <si>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</si>
  <si>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</si>
  <si>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</si>
  <si>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</si>
  <si>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</si>
  <si>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</si>
  <si>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</si>
  <si>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</si>
  <si>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</si>
  <si>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</si>
  <si>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</si>
  <si>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</si>
  <si>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</si>
  <si>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</si>
  <si>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</si>
  <si>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</si>
  <si>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</si>
  <si>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</si>
  <si>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</si>
  <si>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</si>
  <si>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</si>
  <si>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</si>
  <si>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</si>
  <si>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</si>
  <si>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</si>
  <si>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</si>
  <si>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</si>
  <si>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</si>
  <si>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</si>
  <si>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</si>
  <si>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631 70 493/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</si>
</sst>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7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8"/>
      <color indexed="23"/>
      <name val="Calibri Light"/>
      <family val="2"/>
    </font>
    <font>
      <sz val="11"/>
      <color indexed="19"/>
      <name val="Calibri"/>
      <family val="2"/>
    </font>
    <font>
      <sz val="11"/>
      <color indexed="5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23"/>
      <name val="Calibri"/>
      <family val="2"/>
    </font>
    <font>
      <b/>
      <sz val="11"/>
      <color indexed="51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3" fillId="20" borderId="0" applyNumberFormat="0" applyBorder="0" applyAlignment="0" applyProtection="0"/>
    <xf numFmtId="0" fontId="34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16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8" fillId="33" borderId="12" xfId="0" applyNumberFormat="1" applyFont="1" applyFill="1" applyBorder="1" applyAlignment="1" applyProtection="1">
      <alignment horizontal="right"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12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9" fontId="3" fillId="0" borderId="26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27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10" fillId="34" borderId="29" xfId="0" applyNumberFormat="1" applyFont="1" applyFill="1" applyBorder="1" applyAlignment="1" applyProtection="1">
      <alignment horizontal="center" vertical="center"/>
      <protection/>
    </xf>
    <xf numFmtId="49" fontId="11" fillId="0" borderId="30" xfId="0" applyNumberFormat="1" applyFont="1" applyFill="1" applyBorder="1" applyAlignment="1" applyProtection="1">
      <alignment horizontal="left" vertical="center"/>
      <protection/>
    </xf>
    <xf numFmtId="49" fontId="1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49" fontId="12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4" fontId="12" fillId="0" borderId="29" xfId="0" applyNumberFormat="1" applyFont="1" applyFill="1" applyBorder="1" applyAlignment="1" applyProtection="1">
      <alignment horizontal="right" vertical="center"/>
      <protection/>
    </xf>
    <xf numFmtId="49" fontId="12" fillId="0" borderId="29" xfId="0" applyNumberFormat="1" applyFont="1" applyFill="1" applyBorder="1" applyAlignment="1" applyProtection="1">
      <alignment horizontal="right" vertical="center"/>
      <protection/>
    </xf>
    <xf numFmtId="4" fontId="12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0" fontId="1" fillId="0" borderId="36" xfId="0" applyNumberFormat="1" applyFont="1" applyFill="1" applyBorder="1" applyAlignment="1" applyProtection="1">
      <alignment vertical="center"/>
      <protection/>
    </xf>
    <xf numFmtId="0" fontId="1" fillId="0" borderId="37" xfId="0" applyNumberFormat="1" applyFont="1" applyFill="1" applyBorder="1" applyAlignment="1" applyProtection="1">
      <alignment vertical="center"/>
      <protection/>
    </xf>
    <xf numFmtId="4" fontId="11" fillId="34" borderId="38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49" fontId="3" fillId="0" borderId="39" xfId="0" applyNumberFormat="1" applyFont="1" applyFill="1" applyBorder="1" applyAlignment="1" applyProtection="1">
      <alignment horizontal="center" vertical="center"/>
      <protection/>
    </xf>
    <xf numFmtId="0" fontId="3" fillId="0" borderId="40" xfId="0" applyNumberFormat="1" applyFont="1" applyFill="1" applyBorder="1" applyAlignment="1" applyProtection="1">
      <alignment horizontal="center" vertical="center"/>
      <protection/>
    </xf>
    <xf numFmtId="0" fontId="3" fillId="0" borderId="41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42" xfId="0" applyNumberFormat="1" applyFont="1" applyFill="1" applyBorder="1" applyAlignment="1" applyProtection="1">
      <alignment horizontal="left" vertical="center"/>
      <protection/>
    </xf>
    <xf numFmtId="0" fontId="1" fillId="0" borderId="43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44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45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49" fontId="12" fillId="0" borderId="25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46" xfId="0" applyNumberFormat="1" applyFont="1" applyFill="1" applyBorder="1" applyAlignment="1" applyProtection="1">
      <alignment horizontal="left" vertical="center"/>
      <protection/>
    </xf>
    <xf numFmtId="49" fontId="12" fillId="0" borderId="47" xfId="0" applyNumberFormat="1" applyFont="1" applyFill="1" applyBorder="1" applyAlignment="1" applyProtection="1">
      <alignment horizontal="left" vertical="center"/>
      <protection/>
    </xf>
    <xf numFmtId="0" fontId="12" fillId="0" borderId="43" xfId="0" applyNumberFormat="1" applyFont="1" applyFill="1" applyBorder="1" applyAlignment="1" applyProtection="1">
      <alignment horizontal="left" vertical="center"/>
      <protection/>
    </xf>
    <xf numFmtId="0" fontId="12" fillId="0" borderId="48" xfId="0" applyNumberFormat="1" applyFont="1" applyFill="1" applyBorder="1" applyAlignment="1" applyProtection="1">
      <alignment horizontal="left" vertical="center"/>
      <protection/>
    </xf>
    <xf numFmtId="49" fontId="11" fillId="34" borderId="37" xfId="0" applyNumberFormat="1" applyFont="1" applyFill="1" applyBorder="1" applyAlignment="1" applyProtection="1">
      <alignment horizontal="left" vertical="center"/>
      <protection/>
    </xf>
    <xf numFmtId="0" fontId="11" fillId="34" borderId="49" xfId="0" applyNumberFormat="1" applyFont="1" applyFill="1" applyBorder="1" applyAlignment="1" applyProtection="1">
      <alignment horizontal="left" vertical="center"/>
      <protection/>
    </xf>
    <xf numFmtId="49" fontId="12" fillId="0" borderId="50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left" vertical="center"/>
      <protection/>
    </xf>
    <xf numFmtId="0" fontId="12" fillId="0" borderId="51" xfId="0" applyNumberFormat="1" applyFont="1" applyFill="1" applyBorder="1" applyAlignment="1" applyProtection="1">
      <alignment horizontal="left" vertical="center"/>
      <protection/>
    </xf>
    <xf numFmtId="49" fontId="11" fillId="0" borderId="37" xfId="0" applyNumberFormat="1" applyFont="1" applyFill="1" applyBorder="1" applyAlignment="1" applyProtection="1">
      <alignment horizontal="left" vertical="center"/>
      <protection/>
    </xf>
    <xf numFmtId="0" fontId="11" fillId="0" borderId="38" xfId="0" applyNumberFormat="1" applyFont="1" applyFill="1" applyBorder="1" applyAlignment="1" applyProtection="1">
      <alignment horizontal="left" vertical="center"/>
      <protection/>
    </xf>
    <xf numFmtId="49" fontId="12" fillId="0" borderId="37" xfId="0" applyNumberFormat="1" applyFont="1" applyFill="1" applyBorder="1" applyAlignment="1" applyProtection="1">
      <alignment horizontal="left" vertical="center"/>
      <protection/>
    </xf>
    <xf numFmtId="0" fontId="12" fillId="0" borderId="38" xfId="0" applyNumberFormat="1" applyFont="1" applyFill="1" applyBorder="1" applyAlignment="1" applyProtection="1">
      <alignment horizontal="left" vertical="center"/>
      <protection/>
    </xf>
    <xf numFmtId="49" fontId="9" fillId="0" borderId="49" xfId="0" applyNumberFormat="1" applyFont="1" applyFill="1" applyBorder="1" applyAlignment="1" applyProtection="1">
      <alignment horizontal="center" vertical="center"/>
      <protection/>
    </xf>
    <xf numFmtId="0" fontId="9" fillId="0" borderId="49" xfId="0" applyNumberFormat="1" applyFont="1" applyFill="1" applyBorder="1" applyAlignment="1" applyProtection="1">
      <alignment horizontal="center" vertical="center"/>
      <protection/>
    </xf>
    <xf numFmtId="49" fontId="13" fillId="0" borderId="37" xfId="0" applyNumberFormat="1" applyFont="1" applyFill="1" applyBorder="1" applyAlignment="1" applyProtection="1">
      <alignment horizontal="left" vertical="center"/>
      <protection/>
    </xf>
    <xf numFmtId="0" fontId="13" fillId="0" borderId="38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 wrapText="1"/>
      <protection/>
    </xf>
    <xf numFmtId="0" fontId="1" fillId="0" borderId="52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36" xfId="0" applyNumberFormat="1" applyFont="1" applyFill="1" applyBorder="1" applyAlignment="1" applyProtection="1">
      <alignment horizontal="left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9"/>
  <sheetViews>
    <sheetView tabSelected="1" zoomScalePageLayoutView="0" workbookViewId="0" topLeftCell="A1">
      <pane ySplit="11" topLeftCell="A19" activePane="bottomLeft" state="frozen"/>
      <selection pane="topLeft" activeCell="A1" sqref="A1"/>
      <selection pane="bottomLeft" activeCell="I44" sqref="I44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65.00390625" style="0" customWidth="1"/>
    <col min="5" max="5" width="4.28125" style="0" customWidth="1"/>
    <col min="6" max="6" width="12.8515625" style="0" customWidth="1"/>
    <col min="7" max="7" width="12.00390625" style="0" customWidth="1"/>
    <col min="8" max="10" width="14.28125" style="0" customWidth="1"/>
    <col min="11" max="12" width="11.7109375" style="0" customWidth="1"/>
    <col min="13" max="13" width="11.57421875" style="0" customWidth="1"/>
    <col min="14" max="14" width="0" style="0" hidden="1" customWidth="1"/>
    <col min="15" max="48" width="12.140625" style="0" hidden="1" customWidth="1"/>
  </cols>
  <sheetData>
    <row r="1" spans="1:13" ht="72.75" customHeight="1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4" ht="12.75">
      <c r="A2" s="82" t="s">
        <v>1</v>
      </c>
      <c r="B2" s="83"/>
      <c r="C2" s="83"/>
      <c r="D2" s="84" t="s">
        <v>48</v>
      </c>
      <c r="E2" s="86" t="s">
        <v>78</v>
      </c>
      <c r="F2" s="83"/>
      <c r="G2" s="86" t="s">
        <v>88</v>
      </c>
      <c r="H2" s="83"/>
      <c r="I2" s="87" t="s">
        <v>97</v>
      </c>
      <c r="J2" s="87" t="s">
        <v>102</v>
      </c>
      <c r="K2" s="83"/>
      <c r="L2" s="83"/>
      <c r="M2" s="88"/>
      <c r="N2" s="32"/>
    </row>
    <row r="3" spans="1:14" ht="12.75">
      <c r="A3" s="79"/>
      <c r="B3" s="72"/>
      <c r="C3" s="72"/>
      <c r="D3" s="85"/>
      <c r="E3" s="72"/>
      <c r="F3" s="72"/>
      <c r="G3" s="72"/>
      <c r="H3" s="72"/>
      <c r="I3" s="72"/>
      <c r="J3" s="72"/>
      <c r="K3" s="72"/>
      <c r="L3" s="72"/>
      <c r="M3" s="77"/>
      <c r="N3" s="32"/>
    </row>
    <row r="4" spans="1:14" ht="12.75">
      <c r="A4" s="73" t="s">
        <v>2</v>
      </c>
      <c r="B4" s="72"/>
      <c r="C4" s="72"/>
      <c r="D4" s="71" t="s">
        <v>49</v>
      </c>
      <c r="E4" s="76" t="s">
        <v>79</v>
      </c>
      <c r="F4" s="72"/>
      <c r="G4" s="76" t="s">
        <v>89</v>
      </c>
      <c r="H4" s="72"/>
      <c r="I4" s="71" t="s">
        <v>98</v>
      </c>
      <c r="J4" s="71" t="s">
        <v>103</v>
      </c>
      <c r="K4" s="72"/>
      <c r="L4" s="72"/>
      <c r="M4" s="77"/>
      <c r="N4" s="32"/>
    </row>
    <row r="5" spans="1:14" ht="12.75">
      <c r="A5" s="79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7"/>
      <c r="N5" s="32"/>
    </row>
    <row r="6" spans="1:14" ht="12.75">
      <c r="A6" s="73" t="s">
        <v>3</v>
      </c>
      <c r="B6" s="72"/>
      <c r="C6" s="72"/>
      <c r="D6" s="71" t="s">
        <v>50</v>
      </c>
      <c r="E6" s="76" t="s">
        <v>80</v>
      </c>
      <c r="F6" s="72"/>
      <c r="G6" s="76" t="s">
        <v>90</v>
      </c>
      <c r="H6" s="72"/>
      <c r="I6" s="71" t="s">
        <v>99</v>
      </c>
      <c r="J6" s="71" t="s">
        <v>6</v>
      </c>
      <c r="K6" s="72"/>
      <c r="L6" s="72"/>
      <c r="M6" s="77"/>
      <c r="N6" s="32"/>
    </row>
    <row r="7" spans="1:14" ht="12.75">
      <c r="A7" s="79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7"/>
      <c r="N7" s="32"/>
    </row>
    <row r="8" spans="1:14" ht="12.75">
      <c r="A8" s="73" t="s">
        <v>4</v>
      </c>
      <c r="B8" s="72"/>
      <c r="C8" s="72"/>
      <c r="D8" s="71">
        <v>8222921</v>
      </c>
      <c r="E8" s="76" t="s">
        <v>81</v>
      </c>
      <c r="F8" s="72"/>
      <c r="G8" s="76" t="s">
        <v>91</v>
      </c>
      <c r="H8" s="72"/>
      <c r="I8" s="71" t="s">
        <v>100</v>
      </c>
      <c r="J8" s="71" t="s">
        <v>104</v>
      </c>
      <c r="K8" s="72"/>
      <c r="L8" s="72"/>
      <c r="M8" s="77"/>
      <c r="N8" s="32"/>
    </row>
    <row r="9" spans="1:14" ht="12.75">
      <c r="A9" s="74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8"/>
      <c r="N9" s="32"/>
    </row>
    <row r="10" spans="1:14" ht="12.75">
      <c r="A10" s="1" t="s">
        <v>5</v>
      </c>
      <c r="B10" s="10" t="s">
        <v>24</v>
      </c>
      <c r="C10" s="10" t="s">
        <v>25</v>
      </c>
      <c r="D10" s="10" t="s">
        <v>51</v>
      </c>
      <c r="E10" s="10" t="s">
        <v>82</v>
      </c>
      <c r="F10" s="16" t="s">
        <v>87</v>
      </c>
      <c r="G10" s="20" t="s">
        <v>92</v>
      </c>
      <c r="H10" s="66" t="s">
        <v>94</v>
      </c>
      <c r="I10" s="67"/>
      <c r="J10" s="68"/>
      <c r="K10" s="66" t="s">
        <v>106</v>
      </c>
      <c r="L10" s="68"/>
      <c r="M10" s="27" t="s">
        <v>107</v>
      </c>
      <c r="N10" s="33"/>
    </row>
    <row r="11" spans="1:24" ht="12.75">
      <c r="A11" s="2" t="s">
        <v>6</v>
      </c>
      <c r="B11" s="11" t="s">
        <v>6</v>
      </c>
      <c r="C11" s="11" t="s">
        <v>6</v>
      </c>
      <c r="D11" s="14" t="s">
        <v>52</v>
      </c>
      <c r="E11" s="11" t="s">
        <v>6</v>
      </c>
      <c r="F11" s="11" t="s">
        <v>6</v>
      </c>
      <c r="G11" s="21" t="s">
        <v>93</v>
      </c>
      <c r="H11" s="22" t="s">
        <v>95</v>
      </c>
      <c r="I11" s="23" t="s">
        <v>101</v>
      </c>
      <c r="J11" s="24" t="s">
        <v>105</v>
      </c>
      <c r="K11" s="22" t="s">
        <v>92</v>
      </c>
      <c r="L11" s="24" t="s">
        <v>105</v>
      </c>
      <c r="M11" s="28" t="s">
        <v>108</v>
      </c>
      <c r="N11" s="33"/>
      <c r="P11" s="26" t="s">
        <v>110</v>
      </c>
      <c r="Q11" s="26" t="s">
        <v>111</v>
      </c>
      <c r="R11" s="26" t="s">
        <v>112</v>
      </c>
      <c r="S11" s="26" t="s">
        <v>113</v>
      </c>
      <c r="T11" s="26" t="s">
        <v>114</v>
      </c>
      <c r="U11" s="26" t="s">
        <v>115</v>
      </c>
      <c r="V11" s="26" t="s">
        <v>116</v>
      </c>
      <c r="W11" s="26" t="s">
        <v>117</v>
      </c>
      <c r="X11" s="26" t="s">
        <v>118</v>
      </c>
    </row>
    <row r="12" spans="1:37" ht="12.75">
      <c r="A12" s="3"/>
      <c r="B12" s="12"/>
      <c r="C12" s="12" t="s">
        <v>17</v>
      </c>
      <c r="D12" s="12" t="s">
        <v>53</v>
      </c>
      <c r="E12" s="3" t="s">
        <v>6</v>
      </c>
      <c r="F12" s="3" t="s">
        <v>6</v>
      </c>
      <c r="G12" s="3" t="s">
        <v>6</v>
      </c>
      <c r="H12" s="36">
        <f>SUM(H13:H18)</f>
        <v>0</v>
      </c>
      <c r="I12" s="36">
        <f>SUM(I13:I18)</f>
        <v>0</v>
      </c>
      <c r="J12" s="36">
        <f>H12+I12</f>
        <v>0</v>
      </c>
      <c r="K12" s="25"/>
      <c r="L12" s="36">
        <f>SUM(L13:L18)</f>
        <v>0.006500000000000001</v>
      </c>
      <c r="M12" s="25"/>
      <c r="Y12" s="26"/>
      <c r="AI12" s="37">
        <f>SUM(Z13:Z18)</f>
        <v>0</v>
      </c>
      <c r="AJ12" s="37">
        <f>SUM(AA13:AA18)</f>
        <v>0</v>
      </c>
      <c r="AK12" s="37">
        <f>SUM(AB13:AB18)</f>
        <v>0</v>
      </c>
    </row>
    <row r="13" spans="1:48" ht="12.75">
      <c r="A13" s="4" t="s">
        <v>7</v>
      </c>
      <c r="B13" s="4"/>
      <c r="C13" s="4" t="s">
        <v>26</v>
      </c>
      <c r="D13" s="4" t="s">
        <v>54</v>
      </c>
      <c r="E13" s="4" t="s">
        <v>83</v>
      </c>
      <c r="F13" s="17">
        <v>130</v>
      </c>
      <c r="G13" s="17">
        <v>0</v>
      </c>
      <c r="H13" s="17">
        <f aca="true" t="shared" si="0" ref="H13:H18">F13*AE13</f>
        <v>0</v>
      </c>
      <c r="I13" s="17">
        <f aca="true" t="shared" si="1" ref="I13:I18">J13-H13</f>
        <v>0</v>
      </c>
      <c r="J13" s="17">
        <f aca="true" t="shared" si="2" ref="J13:J18">F13*G13</f>
        <v>0</v>
      </c>
      <c r="K13" s="17">
        <v>0</v>
      </c>
      <c r="L13" s="17">
        <f aca="true" t="shared" si="3" ref="L13:L18">F13*K13</f>
        <v>0</v>
      </c>
      <c r="M13" s="29" t="s">
        <v>109</v>
      </c>
      <c r="P13" s="34">
        <f aca="true" t="shared" si="4" ref="P13:P18">IF(AG13="5",J13,0)</f>
        <v>0</v>
      </c>
      <c r="R13" s="34">
        <f aca="true" t="shared" si="5" ref="R13:R18">IF(AG13="1",H13,0)</f>
        <v>0</v>
      </c>
      <c r="S13" s="34">
        <f aca="true" t="shared" si="6" ref="S13:S18">IF(AG13="1",I13,0)</f>
        <v>0</v>
      </c>
      <c r="T13" s="34">
        <f aca="true" t="shared" si="7" ref="T13:T18">IF(AG13="7",H13,0)</f>
        <v>0</v>
      </c>
      <c r="U13" s="34">
        <f aca="true" t="shared" si="8" ref="U13:U18">IF(AG13="7",I13,0)</f>
        <v>0</v>
      </c>
      <c r="V13" s="34">
        <f aca="true" t="shared" si="9" ref="V13:V18">IF(AG13="2",H13,0)</f>
        <v>0</v>
      </c>
      <c r="W13" s="34">
        <f aca="true" t="shared" si="10" ref="W13:W18">IF(AG13="2",I13,0)</f>
        <v>0</v>
      </c>
      <c r="X13" s="34">
        <f aca="true" t="shared" si="11" ref="X13:X18">IF(AG13="0",J13,0)</f>
        <v>0</v>
      </c>
      <c r="Y13" s="26"/>
      <c r="Z13" s="17">
        <f aca="true" t="shared" si="12" ref="Z13:Z18">IF(AD13=0,J13,0)</f>
        <v>0</v>
      </c>
      <c r="AA13" s="17">
        <f aca="true" t="shared" si="13" ref="AA13:AA18">IF(AD13=15,J13,0)</f>
        <v>0</v>
      </c>
      <c r="AB13" s="17">
        <f aca="true" t="shared" si="14" ref="AB13:AB18">IF(AD13=21,J13,0)</f>
        <v>0</v>
      </c>
      <c r="AD13" s="34">
        <v>0</v>
      </c>
      <c r="AE13" s="34">
        <f>G13*0</f>
        <v>0</v>
      </c>
      <c r="AF13" s="34">
        <f>G13*(1-0)</f>
        <v>0</v>
      </c>
      <c r="AG13" s="29" t="s">
        <v>7</v>
      </c>
      <c r="AM13" s="34">
        <f aca="true" t="shared" si="15" ref="AM13:AM18">F13*AE13</f>
        <v>0</v>
      </c>
      <c r="AN13" s="34">
        <f aca="true" t="shared" si="16" ref="AN13:AN18">F13*AF13</f>
        <v>0</v>
      </c>
      <c r="AO13" s="35" t="s">
        <v>120</v>
      </c>
      <c r="AP13" s="35" t="s">
        <v>129</v>
      </c>
      <c r="AQ13" s="26" t="s">
        <v>135</v>
      </c>
      <c r="AS13" s="34">
        <f aca="true" t="shared" si="17" ref="AS13:AS18">AM13+AN13</f>
        <v>0</v>
      </c>
      <c r="AT13" s="34">
        <f aca="true" t="shared" si="18" ref="AT13:AT18">G13/(100-AU13)*100</f>
        <v>0</v>
      </c>
      <c r="AU13" s="34">
        <v>0</v>
      </c>
      <c r="AV13" s="34">
        <f aca="true" t="shared" si="19" ref="AV13:AV18">L13</f>
        <v>0</v>
      </c>
    </row>
    <row r="14" spans="1:48" ht="12.75">
      <c r="A14" s="4" t="s">
        <v>8</v>
      </c>
      <c r="B14" s="4"/>
      <c r="C14" s="4" t="s">
        <v>27</v>
      </c>
      <c r="D14" s="4" t="s">
        <v>55</v>
      </c>
      <c r="E14" s="4" t="s">
        <v>83</v>
      </c>
      <c r="F14" s="17">
        <v>130</v>
      </c>
      <c r="G14" s="17">
        <v>0</v>
      </c>
      <c r="H14" s="17">
        <f t="shared" si="0"/>
        <v>0</v>
      </c>
      <c r="I14" s="17">
        <f t="shared" si="1"/>
        <v>0</v>
      </c>
      <c r="J14" s="17">
        <f t="shared" si="2"/>
        <v>0</v>
      </c>
      <c r="K14" s="17">
        <v>5E-05</v>
      </c>
      <c r="L14" s="17">
        <f t="shared" si="3"/>
        <v>0.006500000000000001</v>
      </c>
      <c r="M14" s="29" t="s">
        <v>109</v>
      </c>
      <c r="P14" s="34">
        <f t="shared" si="4"/>
        <v>0</v>
      </c>
      <c r="R14" s="34">
        <f t="shared" si="5"/>
        <v>0</v>
      </c>
      <c r="S14" s="34">
        <f t="shared" si="6"/>
        <v>0</v>
      </c>
      <c r="T14" s="34">
        <f t="shared" si="7"/>
        <v>0</v>
      </c>
      <c r="U14" s="34">
        <f t="shared" si="8"/>
        <v>0</v>
      </c>
      <c r="V14" s="34">
        <f t="shared" si="9"/>
        <v>0</v>
      </c>
      <c r="W14" s="34">
        <f t="shared" si="10"/>
        <v>0</v>
      </c>
      <c r="X14" s="34">
        <f t="shared" si="11"/>
        <v>0</v>
      </c>
      <c r="Y14" s="26"/>
      <c r="Z14" s="17">
        <f t="shared" si="12"/>
        <v>0</v>
      </c>
      <c r="AA14" s="17">
        <f t="shared" si="13"/>
        <v>0</v>
      </c>
      <c r="AB14" s="17">
        <f t="shared" si="14"/>
        <v>0</v>
      </c>
      <c r="AD14" s="34">
        <v>0</v>
      </c>
      <c r="AE14" s="34">
        <f>G14*0.172641509433962</f>
        <v>0</v>
      </c>
      <c r="AF14" s="34">
        <f>G14*(1-0.172641509433962)</f>
        <v>0</v>
      </c>
      <c r="AG14" s="29" t="s">
        <v>7</v>
      </c>
      <c r="AM14" s="34">
        <f t="shared" si="15"/>
        <v>0</v>
      </c>
      <c r="AN14" s="34">
        <f t="shared" si="16"/>
        <v>0</v>
      </c>
      <c r="AO14" s="35" t="s">
        <v>120</v>
      </c>
      <c r="AP14" s="35" t="s">
        <v>129</v>
      </c>
      <c r="AQ14" s="26" t="s">
        <v>135</v>
      </c>
      <c r="AS14" s="34">
        <f t="shared" si="17"/>
        <v>0</v>
      </c>
      <c r="AT14" s="34">
        <f t="shared" si="18"/>
        <v>0</v>
      </c>
      <c r="AU14" s="34">
        <v>0</v>
      </c>
      <c r="AV14" s="34">
        <f t="shared" si="19"/>
        <v>0.006500000000000001</v>
      </c>
    </row>
    <row r="15" spans="1:48" ht="12.75">
      <c r="A15" s="4" t="s">
        <v>9</v>
      </c>
      <c r="B15" s="4"/>
      <c r="C15" s="4" t="s">
        <v>28</v>
      </c>
      <c r="D15" s="4" t="s">
        <v>56</v>
      </c>
      <c r="E15" s="4" t="s">
        <v>84</v>
      </c>
      <c r="F15" s="17">
        <v>3</v>
      </c>
      <c r="G15" s="17">
        <v>0</v>
      </c>
      <c r="H15" s="17">
        <f t="shared" si="0"/>
        <v>0</v>
      </c>
      <c r="I15" s="17">
        <f t="shared" si="1"/>
        <v>0</v>
      </c>
      <c r="J15" s="17">
        <f t="shared" si="2"/>
        <v>0</v>
      </c>
      <c r="K15" s="17">
        <v>0</v>
      </c>
      <c r="L15" s="17">
        <f t="shared" si="3"/>
        <v>0</v>
      </c>
      <c r="M15" s="29" t="s">
        <v>109</v>
      </c>
      <c r="P15" s="34">
        <f t="shared" si="4"/>
        <v>0</v>
      </c>
      <c r="R15" s="34">
        <f t="shared" si="5"/>
        <v>0</v>
      </c>
      <c r="S15" s="34">
        <f t="shared" si="6"/>
        <v>0</v>
      </c>
      <c r="T15" s="34">
        <f t="shared" si="7"/>
        <v>0</v>
      </c>
      <c r="U15" s="34">
        <f t="shared" si="8"/>
        <v>0</v>
      </c>
      <c r="V15" s="34">
        <f t="shared" si="9"/>
        <v>0</v>
      </c>
      <c r="W15" s="34">
        <f t="shared" si="10"/>
        <v>0</v>
      </c>
      <c r="X15" s="34">
        <f t="shared" si="11"/>
        <v>0</v>
      </c>
      <c r="Y15" s="26"/>
      <c r="Z15" s="17">
        <f t="shared" si="12"/>
        <v>0</v>
      </c>
      <c r="AA15" s="17">
        <f t="shared" si="13"/>
        <v>0</v>
      </c>
      <c r="AB15" s="17">
        <f t="shared" si="14"/>
        <v>0</v>
      </c>
      <c r="AD15" s="34">
        <v>0</v>
      </c>
      <c r="AE15" s="34">
        <f>G15*0</f>
        <v>0</v>
      </c>
      <c r="AF15" s="34">
        <f>G15*(1-0)</f>
        <v>0</v>
      </c>
      <c r="AG15" s="29" t="s">
        <v>7</v>
      </c>
      <c r="AM15" s="34">
        <f t="shared" si="15"/>
        <v>0</v>
      </c>
      <c r="AN15" s="34">
        <f t="shared" si="16"/>
        <v>0</v>
      </c>
      <c r="AO15" s="35" t="s">
        <v>120</v>
      </c>
      <c r="AP15" s="35" t="s">
        <v>129</v>
      </c>
      <c r="AQ15" s="26" t="s">
        <v>135</v>
      </c>
      <c r="AS15" s="34">
        <f t="shared" si="17"/>
        <v>0</v>
      </c>
      <c r="AT15" s="34">
        <f t="shared" si="18"/>
        <v>0</v>
      </c>
      <c r="AU15" s="34">
        <v>0</v>
      </c>
      <c r="AV15" s="34">
        <f t="shared" si="19"/>
        <v>0</v>
      </c>
    </row>
    <row r="16" spans="1:48" ht="12.75">
      <c r="A16" s="4" t="s">
        <v>10</v>
      </c>
      <c r="B16" s="4"/>
      <c r="C16" s="4" t="s">
        <v>29</v>
      </c>
      <c r="D16" s="4" t="s">
        <v>57</v>
      </c>
      <c r="E16" s="4" t="s">
        <v>84</v>
      </c>
      <c r="F16" s="17">
        <v>2</v>
      </c>
      <c r="G16" s="17">
        <v>0</v>
      </c>
      <c r="H16" s="17">
        <f t="shared" si="0"/>
        <v>0</v>
      </c>
      <c r="I16" s="17">
        <f t="shared" si="1"/>
        <v>0</v>
      </c>
      <c r="J16" s="17">
        <f t="shared" si="2"/>
        <v>0</v>
      </c>
      <c r="K16" s="17">
        <v>0</v>
      </c>
      <c r="L16" s="17">
        <f t="shared" si="3"/>
        <v>0</v>
      </c>
      <c r="M16" s="29" t="s">
        <v>109</v>
      </c>
      <c r="P16" s="34">
        <f t="shared" si="4"/>
        <v>0</v>
      </c>
      <c r="R16" s="34">
        <f t="shared" si="5"/>
        <v>0</v>
      </c>
      <c r="S16" s="34">
        <f t="shared" si="6"/>
        <v>0</v>
      </c>
      <c r="T16" s="34">
        <f t="shared" si="7"/>
        <v>0</v>
      </c>
      <c r="U16" s="34">
        <f t="shared" si="8"/>
        <v>0</v>
      </c>
      <c r="V16" s="34">
        <f t="shared" si="9"/>
        <v>0</v>
      </c>
      <c r="W16" s="34">
        <f t="shared" si="10"/>
        <v>0</v>
      </c>
      <c r="X16" s="34">
        <f t="shared" si="11"/>
        <v>0</v>
      </c>
      <c r="Y16" s="26"/>
      <c r="Z16" s="17">
        <f t="shared" si="12"/>
        <v>0</v>
      </c>
      <c r="AA16" s="17">
        <f t="shared" si="13"/>
        <v>0</v>
      </c>
      <c r="AB16" s="17">
        <f t="shared" si="14"/>
        <v>0</v>
      </c>
      <c r="AD16" s="34">
        <v>0</v>
      </c>
      <c r="AE16" s="34">
        <f>G16*0</f>
        <v>0</v>
      </c>
      <c r="AF16" s="34">
        <f>G16*(1-0)</f>
        <v>0</v>
      </c>
      <c r="AG16" s="29" t="s">
        <v>7</v>
      </c>
      <c r="AM16" s="34">
        <f t="shared" si="15"/>
        <v>0</v>
      </c>
      <c r="AN16" s="34">
        <f t="shared" si="16"/>
        <v>0</v>
      </c>
      <c r="AO16" s="35" t="s">
        <v>120</v>
      </c>
      <c r="AP16" s="35" t="s">
        <v>129</v>
      </c>
      <c r="AQ16" s="26" t="s">
        <v>135</v>
      </c>
      <c r="AS16" s="34">
        <f t="shared" si="17"/>
        <v>0</v>
      </c>
      <c r="AT16" s="34">
        <f t="shared" si="18"/>
        <v>0</v>
      </c>
      <c r="AU16" s="34">
        <v>0</v>
      </c>
      <c r="AV16" s="34">
        <f t="shared" si="19"/>
        <v>0</v>
      </c>
    </row>
    <row r="17" spans="1:48" ht="12.75">
      <c r="A17" s="4" t="s">
        <v>11</v>
      </c>
      <c r="B17" s="4"/>
      <c r="C17" s="4" t="s">
        <v>30</v>
      </c>
      <c r="D17" s="4" t="s">
        <v>58</v>
      </c>
      <c r="E17" s="4" t="s">
        <v>84</v>
      </c>
      <c r="F17" s="17">
        <v>5</v>
      </c>
      <c r="G17" s="17">
        <v>0</v>
      </c>
      <c r="H17" s="17">
        <f t="shared" si="0"/>
        <v>0</v>
      </c>
      <c r="I17" s="17">
        <f t="shared" si="1"/>
        <v>0</v>
      </c>
      <c r="J17" s="17">
        <f t="shared" si="2"/>
        <v>0</v>
      </c>
      <c r="K17" s="17">
        <v>0</v>
      </c>
      <c r="L17" s="17">
        <f t="shared" si="3"/>
        <v>0</v>
      </c>
      <c r="M17" s="29" t="s">
        <v>109</v>
      </c>
      <c r="P17" s="34">
        <f t="shared" si="4"/>
        <v>0</v>
      </c>
      <c r="R17" s="34">
        <f t="shared" si="5"/>
        <v>0</v>
      </c>
      <c r="S17" s="34">
        <f t="shared" si="6"/>
        <v>0</v>
      </c>
      <c r="T17" s="34">
        <f t="shared" si="7"/>
        <v>0</v>
      </c>
      <c r="U17" s="34">
        <f t="shared" si="8"/>
        <v>0</v>
      </c>
      <c r="V17" s="34">
        <f t="shared" si="9"/>
        <v>0</v>
      </c>
      <c r="W17" s="34">
        <f t="shared" si="10"/>
        <v>0</v>
      </c>
      <c r="X17" s="34">
        <f t="shared" si="11"/>
        <v>0</v>
      </c>
      <c r="Y17" s="26"/>
      <c r="Z17" s="17">
        <f t="shared" si="12"/>
        <v>0</v>
      </c>
      <c r="AA17" s="17">
        <f t="shared" si="13"/>
        <v>0</v>
      </c>
      <c r="AB17" s="17">
        <f t="shared" si="14"/>
        <v>0</v>
      </c>
      <c r="AD17" s="34">
        <v>0</v>
      </c>
      <c r="AE17" s="34">
        <f>G17*0</f>
        <v>0</v>
      </c>
      <c r="AF17" s="34">
        <f>G17*(1-0)</f>
        <v>0</v>
      </c>
      <c r="AG17" s="29" t="s">
        <v>7</v>
      </c>
      <c r="AM17" s="34">
        <f t="shared" si="15"/>
        <v>0</v>
      </c>
      <c r="AN17" s="34">
        <f t="shared" si="16"/>
        <v>0</v>
      </c>
      <c r="AO17" s="35" t="s">
        <v>120</v>
      </c>
      <c r="AP17" s="35" t="s">
        <v>129</v>
      </c>
      <c r="AQ17" s="26" t="s">
        <v>135</v>
      </c>
      <c r="AS17" s="34">
        <f t="shared" si="17"/>
        <v>0</v>
      </c>
      <c r="AT17" s="34">
        <f t="shared" si="18"/>
        <v>0</v>
      </c>
      <c r="AU17" s="34">
        <v>0</v>
      </c>
      <c r="AV17" s="34">
        <f t="shared" si="19"/>
        <v>0</v>
      </c>
    </row>
    <row r="18" spans="1:48" ht="12.75">
      <c r="A18" s="4" t="s">
        <v>12</v>
      </c>
      <c r="B18" s="4"/>
      <c r="C18" s="4" t="s">
        <v>31</v>
      </c>
      <c r="D18" s="4" t="s">
        <v>59</v>
      </c>
      <c r="E18" s="4" t="s">
        <v>84</v>
      </c>
      <c r="F18" s="17">
        <v>5</v>
      </c>
      <c r="G18" s="17">
        <v>0</v>
      </c>
      <c r="H18" s="17">
        <f t="shared" si="0"/>
        <v>0</v>
      </c>
      <c r="I18" s="17">
        <f t="shared" si="1"/>
        <v>0</v>
      </c>
      <c r="J18" s="17">
        <f t="shared" si="2"/>
        <v>0</v>
      </c>
      <c r="K18" s="17">
        <v>0</v>
      </c>
      <c r="L18" s="17">
        <f t="shared" si="3"/>
        <v>0</v>
      </c>
      <c r="M18" s="29" t="s">
        <v>109</v>
      </c>
      <c r="P18" s="34">
        <f t="shared" si="4"/>
        <v>0</v>
      </c>
      <c r="R18" s="34">
        <f t="shared" si="5"/>
        <v>0</v>
      </c>
      <c r="S18" s="34">
        <f t="shared" si="6"/>
        <v>0</v>
      </c>
      <c r="T18" s="34">
        <f t="shared" si="7"/>
        <v>0</v>
      </c>
      <c r="U18" s="34">
        <f t="shared" si="8"/>
        <v>0</v>
      </c>
      <c r="V18" s="34">
        <f t="shared" si="9"/>
        <v>0</v>
      </c>
      <c r="W18" s="34">
        <f t="shared" si="10"/>
        <v>0</v>
      </c>
      <c r="X18" s="34">
        <f t="shared" si="11"/>
        <v>0</v>
      </c>
      <c r="Y18" s="26"/>
      <c r="Z18" s="17">
        <f t="shared" si="12"/>
        <v>0</v>
      </c>
      <c r="AA18" s="17">
        <f t="shared" si="13"/>
        <v>0</v>
      </c>
      <c r="AB18" s="17">
        <f t="shared" si="14"/>
        <v>0</v>
      </c>
      <c r="AD18" s="34">
        <v>0</v>
      </c>
      <c r="AE18" s="34">
        <f>G18*0</f>
        <v>0</v>
      </c>
      <c r="AF18" s="34">
        <f>G18*(1-0)</f>
        <v>0</v>
      </c>
      <c r="AG18" s="29" t="s">
        <v>7</v>
      </c>
      <c r="AM18" s="34">
        <f t="shared" si="15"/>
        <v>0</v>
      </c>
      <c r="AN18" s="34">
        <f t="shared" si="16"/>
        <v>0</v>
      </c>
      <c r="AO18" s="35" t="s">
        <v>120</v>
      </c>
      <c r="AP18" s="35" t="s">
        <v>129</v>
      </c>
      <c r="AQ18" s="26" t="s">
        <v>135</v>
      </c>
      <c r="AS18" s="34">
        <f t="shared" si="17"/>
        <v>0</v>
      </c>
      <c r="AT18" s="34">
        <f t="shared" si="18"/>
        <v>0</v>
      </c>
      <c r="AU18" s="34">
        <v>0</v>
      </c>
      <c r="AV18" s="34">
        <f t="shared" si="19"/>
        <v>0</v>
      </c>
    </row>
    <row r="19" spans="1:37" ht="12.75">
      <c r="A19" s="5"/>
      <c r="B19" s="13"/>
      <c r="C19" s="13" t="s">
        <v>32</v>
      </c>
      <c r="D19" s="13" t="s">
        <v>60</v>
      </c>
      <c r="E19" s="5" t="s">
        <v>6</v>
      </c>
      <c r="F19" s="5" t="s">
        <v>6</v>
      </c>
      <c r="G19" s="5" t="s">
        <v>6</v>
      </c>
      <c r="H19" s="37">
        <f>SUM(H20:H20)</f>
        <v>0</v>
      </c>
      <c r="I19" s="37">
        <f>SUM(I20:I20)</f>
        <v>0</v>
      </c>
      <c r="J19" s="37">
        <f>H19+I19</f>
        <v>0</v>
      </c>
      <c r="K19" s="26"/>
      <c r="L19" s="37">
        <f>SUM(L20:L20)</f>
        <v>0</v>
      </c>
      <c r="M19" s="26"/>
      <c r="Y19" s="26"/>
      <c r="AI19" s="37">
        <f>SUM(Z20:Z20)</f>
        <v>0</v>
      </c>
      <c r="AJ19" s="37">
        <f>SUM(AA20:AA20)</f>
        <v>0</v>
      </c>
      <c r="AK19" s="37">
        <f>SUM(AB20:AB20)</f>
        <v>0</v>
      </c>
    </row>
    <row r="20" spans="1:48" ht="12.75">
      <c r="A20" s="4" t="s">
        <v>13</v>
      </c>
      <c r="B20" s="4"/>
      <c r="C20" s="4" t="s">
        <v>33</v>
      </c>
      <c r="D20" s="4" t="s">
        <v>61</v>
      </c>
      <c r="E20" s="4" t="s">
        <v>83</v>
      </c>
      <c r="F20" s="17">
        <v>764</v>
      </c>
      <c r="G20" s="17">
        <v>0</v>
      </c>
      <c r="H20" s="17">
        <f>F20*AE20</f>
        <v>0</v>
      </c>
      <c r="I20" s="17">
        <f>J20-H20</f>
        <v>0</v>
      </c>
      <c r="J20" s="17">
        <f>F20*G20</f>
        <v>0</v>
      </c>
      <c r="K20" s="17">
        <v>0</v>
      </c>
      <c r="L20" s="17">
        <f>F20*K20</f>
        <v>0</v>
      </c>
      <c r="M20" s="29" t="s">
        <v>109</v>
      </c>
      <c r="P20" s="34">
        <f>IF(AG20="5",J20,0)</f>
        <v>0</v>
      </c>
      <c r="R20" s="34">
        <f>IF(AG20="1",H20,0)</f>
        <v>0</v>
      </c>
      <c r="S20" s="34">
        <f>IF(AG20="1",I20,0)</f>
        <v>0</v>
      </c>
      <c r="T20" s="34">
        <f>IF(AG20="7",H20,0)</f>
        <v>0</v>
      </c>
      <c r="U20" s="34">
        <f>IF(AG20="7",I20,0)</f>
        <v>0</v>
      </c>
      <c r="V20" s="34">
        <f>IF(AG20="2",H20,0)</f>
        <v>0</v>
      </c>
      <c r="W20" s="34">
        <f>IF(AG20="2",I20,0)</f>
        <v>0</v>
      </c>
      <c r="X20" s="34">
        <f>IF(AG20="0",J20,0)</f>
        <v>0</v>
      </c>
      <c r="Y20" s="26"/>
      <c r="Z20" s="17">
        <f>IF(AD20=0,J20,0)</f>
        <v>0</v>
      </c>
      <c r="AA20" s="17">
        <f>IF(AD20=15,J20,0)</f>
        <v>0</v>
      </c>
      <c r="AB20" s="17">
        <f>IF(AD20=21,J20,0)</f>
        <v>0</v>
      </c>
      <c r="AD20" s="34">
        <v>0</v>
      </c>
      <c r="AE20" s="34">
        <f>G20*0</f>
        <v>0</v>
      </c>
      <c r="AF20" s="34">
        <f>G20*(1-0)</f>
        <v>0</v>
      </c>
      <c r="AG20" s="29" t="s">
        <v>7</v>
      </c>
      <c r="AM20" s="34">
        <f>F20*AE20</f>
        <v>0</v>
      </c>
      <c r="AN20" s="34">
        <f>F20*AF20</f>
        <v>0</v>
      </c>
      <c r="AO20" s="35" t="s">
        <v>121</v>
      </c>
      <c r="AP20" s="35" t="s">
        <v>129</v>
      </c>
      <c r="AQ20" s="26" t="s">
        <v>135</v>
      </c>
      <c r="AS20" s="34">
        <f>AM20+AN20</f>
        <v>0</v>
      </c>
      <c r="AT20" s="34">
        <f>G20/(100-AU20)*100</f>
        <v>0</v>
      </c>
      <c r="AU20" s="34">
        <v>0</v>
      </c>
      <c r="AV20" s="34">
        <f>L20</f>
        <v>0</v>
      </c>
    </row>
    <row r="21" spans="1:37" ht="12.75">
      <c r="A21" s="5"/>
      <c r="B21" s="13"/>
      <c r="C21" s="13" t="s">
        <v>34</v>
      </c>
      <c r="D21" s="13" t="s">
        <v>62</v>
      </c>
      <c r="E21" s="5" t="s">
        <v>6</v>
      </c>
      <c r="F21" s="5" t="s">
        <v>6</v>
      </c>
      <c r="G21" s="5" t="s">
        <v>6</v>
      </c>
      <c r="H21" s="37">
        <f>SUM(H22:H22)</f>
        <v>0</v>
      </c>
      <c r="I21" s="37">
        <f>SUM(I22:I22)</f>
        <v>0</v>
      </c>
      <c r="J21" s="37">
        <f>H21+I21</f>
        <v>0</v>
      </c>
      <c r="K21" s="26"/>
      <c r="L21" s="37">
        <f>SUM(L22:L22)</f>
        <v>48.18</v>
      </c>
      <c r="M21" s="26"/>
      <c r="Y21" s="26"/>
      <c r="AI21" s="37">
        <f>SUM(Z22:Z22)</f>
        <v>0</v>
      </c>
      <c r="AJ21" s="37">
        <f>SUM(AA22:AA22)</f>
        <v>0</v>
      </c>
      <c r="AK21" s="37">
        <f>SUM(AB22:AB22)</f>
        <v>0</v>
      </c>
    </row>
    <row r="22" spans="1:48" ht="12.75">
      <c r="A22" s="4" t="s">
        <v>14</v>
      </c>
      <c r="B22" s="4"/>
      <c r="C22" s="4" t="s">
        <v>35</v>
      </c>
      <c r="D22" s="4" t="s">
        <v>63</v>
      </c>
      <c r="E22" s="4" t="s">
        <v>85</v>
      </c>
      <c r="F22" s="17">
        <v>150</v>
      </c>
      <c r="G22" s="17">
        <v>0</v>
      </c>
      <c r="H22" s="17">
        <f>F22*AE22</f>
        <v>0</v>
      </c>
      <c r="I22" s="17">
        <f>J22-H22</f>
        <v>0</v>
      </c>
      <c r="J22" s="17">
        <f>F22*G22</f>
        <v>0</v>
      </c>
      <c r="K22" s="17">
        <v>0.3212</v>
      </c>
      <c r="L22" s="17">
        <f>F22*K22</f>
        <v>48.18</v>
      </c>
      <c r="M22" s="29" t="s">
        <v>109</v>
      </c>
      <c r="P22" s="34">
        <f>IF(AG22="5",J22,0)</f>
        <v>0</v>
      </c>
      <c r="R22" s="34">
        <f>IF(AG22="1",H22,0)</f>
        <v>0</v>
      </c>
      <c r="S22" s="34">
        <f>IF(AG22="1",I22,0)</f>
        <v>0</v>
      </c>
      <c r="T22" s="34">
        <f>IF(AG22="7",H22,0)</f>
        <v>0</v>
      </c>
      <c r="U22" s="34">
        <f>IF(AG22="7",I22,0)</f>
        <v>0</v>
      </c>
      <c r="V22" s="34">
        <f>IF(AG22="2",H22,0)</f>
        <v>0</v>
      </c>
      <c r="W22" s="34">
        <f>IF(AG22="2",I22,0)</f>
        <v>0</v>
      </c>
      <c r="X22" s="34">
        <f>IF(AG22="0",J22,0)</f>
        <v>0</v>
      </c>
      <c r="Y22" s="26"/>
      <c r="Z22" s="17">
        <f>IF(AD22=0,J22,0)</f>
        <v>0</v>
      </c>
      <c r="AA22" s="17">
        <f>IF(AD22=15,J22,0)</f>
        <v>0</v>
      </c>
      <c r="AB22" s="17">
        <f>IF(AD22=21,J22,0)</f>
        <v>0</v>
      </c>
      <c r="AD22" s="34">
        <v>0</v>
      </c>
      <c r="AE22" s="34">
        <f>G22*0.663831376734258</f>
        <v>0</v>
      </c>
      <c r="AF22" s="34">
        <f>G22*(1-0.663831376734258)</f>
        <v>0</v>
      </c>
      <c r="AG22" s="29" t="s">
        <v>7</v>
      </c>
      <c r="AM22" s="34">
        <f>F22*AE22</f>
        <v>0</v>
      </c>
      <c r="AN22" s="34">
        <f>F22*AF22</f>
        <v>0</v>
      </c>
      <c r="AO22" s="35" t="s">
        <v>122</v>
      </c>
      <c r="AP22" s="35" t="s">
        <v>130</v>
      </c>
      <c r="AQ22" s="26" t="s">
        <v>135</v>
      </c>
      <c r="AS22" s="34">
        <f>AM22+AN22</f>
        <v>0</v>
      </c>
      <c r="AT22" s="34">
        <f>G22/(100-AU22)*100</f>
        <v>0</v>
      </c>
      <c r="AU22" s="34">
        <v>0</v>
      </c>
      <c r="AV22" s="34">
        <f>L22</f>
        <v>48.18</v>
      </c>
    </row>
    <row r="23" spans="1:37" ht="12.75">
      <c r="A23" s="5"/>
      <c r="B23" s="13"/>
      <c r="C23" s="13" t="s">
        <v>36</v>
      </c>
      <c r="D23" s="13" t="s">
        <v>64</v>
      </c>
      <c r="E23" s="5" t="s">
        <v>6</v>
      </c>
      <c r="F23" s="5" t="s">
        <v>6</v>
      </c>
      <c r="G23" s="5" t="s">
        <v>6</v>
      </c>
      <c r="H23" s="37">
        <f>SUM(H24:H24)</f>
        <v>0</v>
      </c>
      <c r="I23" s="37">
        <f>SUM(I24:I24)</f>
        <v>0</v>
      </c>
      <c r="J23" s="37">
        <f>H23+I23</f>
        <v>0</v>
      </c>
      <c r="K23" s="26"/>
      <c r="L23" s="37">
        <f>SUM(L24:L24)</f>
        <v>322.48125</v>
      </c>
      <c r="M23" s="26"/>
      <c r="Y23" s="26"/>
      <c r="AI23" s="37">
        <f>SUM(Z24:Z24)</f>
        <v>0</v>
      </c>
      <c r="AJ23" s="37">
        <f>SUM(AA24:AA24)</f>
        <v>0</v>
      </c>
      <c r="AK23" s="37">
        <f>SUM(AB24:AB24)</f>
        <v>0</v>
      </c>
    </row>
    <row r="24" spans="1:48" ht="12.75">
      <c r="A24" s="4" t="s">
        <v>15</v>
      </c>
      <c r="B24" s="4"/>
      <c r="C24" s="4" t="s">
        <v>37</v>
      </c>
      <c r="D24" s="4" t="s">
        <v>65</v>
      </c>
      <c r="E24" s="4" t="s">
        <v>83</v>
      </c>
      <c r="F24" s="17">
        <v>585</v>
      </c>
      <c r="G24" s="17">
        <v>0</v>
      </c>
      <c r="H24" s="17">
        <f>F24*AE24</f>
        <v>0</v>
      </c>
      <c r="I24" s="17">
        <f>J24-H24</f>
        <v>0</v>
      </c>
      <c r="J24" s="17">
        <f>F24*G24</f>
        <v>0</v>
      </c>
      <c r="K24" s="17">
        <v>0.55125</v>
      </c>
      <c r="L24" s="17">
        <f>F24*K24</f>
        <v>322.48125</v>
      </c>
      <c r="M24" s="29" t="s">
        <v>109</v>
      </c>
      <c r="P24" s="34">
        <f>IF(AG24="5",J24,0)</f>
        <v>0</v>
      </c>
      <c r="R24" s="34">
        <f>IF(AG24="1",H24,0)</f>
        <v>0</v>
      </c>
      <c r="S24" s="34">
        <f>IF(AG24="1",I24,0)</f>
        <v>0</v>
      </c>
      <c r="T24" s="34">
        <f>IF(AG24="7",H24,0)</f>
        <v>0</v>
      </c>
      <c r="U24" s="34">
        <f>IF(AG24="7",I24,0)</f>
        <v>0</v>
      </c>
      <c r="V24" s="34">
        <f>IF(AG24="2",H24,0)</f>
        <v>0</v>
      </c>
      <c r="W24" s="34">
        <f>IF(AG24="2",I24,0)</f>
        <v>0</v>
      </c>
      <c r="X24" s="34">
        <f>IF(AG24="0",J24,0)</f>
        <v>0</v>
      </c>
      <c r="Y24" s="26"/>
      <c r="Z24" s="17">
        <f>IF(AD24=0,J24,0)</f>
        <v>0</v>
      </c>
      <c r="AA24" s="17">
        <f>IF(AD24=15,J24,0)</f>
        <v>0</v>
      </c>
      <c r="AB24" s="17">
        <f>IF(AD24=21,J24,0)</f>
        <v>0</v>
      </c>
      <c r="AD24" s="34">
        <v>0</v>
      </c>
      <c r="AE24" s="34">
        <f>G24*0.883897637795276</f>
        <v>0</v>
      </c>
      <c r="AF24" s="34">
        <f>G24*(1-0.883897637795276)</f>
        <v>0</v>
      </c>
      <c r="AG24" s="29" t="s">
        <v>7</v>
      </c>
      <c r="AM24" s="34">
        <f>F24*AE24</f>
        <v>0</v>
      </c>
      <c r="AN24" s="34">
        <f>F24*AF24</f>
        <v>0</v>
      </c>
      <c r="AO24" s="35" t="s">
        <v>123</v>
      </c>
      <c r="AP24" s="35" t="s">
        <v>131</v>
      </c>
      <c r="AQ24" s="26" t="s">
        <v>135</v>
      </c>
      <c r="AS24" s="34">
        <f>AM24+AN24</f>
        <v>0</v>
      </c>
      <c r="AT24" s="34">
        <f>G24/(100-AU24)*100</f>
        <v>0</v>
      </c>
      <c r="AU24" s="34">
        <v>0</v>
      </c>
      <c r="AV24" s="34">
        <f>L24</f>
        <v>322.48125</v>
      </c>
    </row>
    <row r="25" spans="1:37" ht="12.75">
      <c r="A25" s="5"/>
      <c r="B25" s="13"/>
      <c r="C25" s="13" t="s">
        <v>38</v>
      </c>
      <c r="D25" s="13" t="s">
        <v>66</v>
      </c>
      <c r="E25" s="5" t="s">
        <v>6</v>
      </c>
      <c r="F25" s="5" t="s">
        <v>6</v>
      </c>
      <c r="G25" s="5" t="s">
        <v>6</v>
      </c>
      <c r="H25" s="37">
        <f>SUM(H26:H26)</f>
        <v>0</v>
      </c>
      <c r="I25" s="37">
        <f>SUM(I26:I26)</f>
        <v>0</v>
      </c>
      <c r="J25" s="37">
        <f>H25+I25</f>
        <v>0</v>
      </c>
      <c r="K25" s="26"/>
      <c r="L25" s="37">
        <f>SUM(L26:L26)</f>
        <v>18.5445</v>
      </c>
      <c r="M25" s="26"/>
      <c r="Y25" s="26"/>
      <c r="AI25" s="37">
        <f>SUM(Z26:Z26)</f>
        <v>0</v>
      </c>
      <c r="AJ25" s="37">
        <f>SUM(AA26:AA26)</f>
        <v>0</v>
      </c>
      <c r="AK25" s="37">
        <f>SUM(AB26:AB26)</f>
        <v>0</v>
      </c>
    </row>
    <row r="26" spans="1:48" ht="12.75">
      <c r="A26" s="4" t="s">
        <v>16</v>
      </c>
      <c r="B26" s="4"/>
      <c r="C26" s="4" t="s">
        <v>39</v>
      </c>
      <c r="D26" s="4" t="s">
        <v>67</v>
      </c>
      <c r="E26" s="4" t="s">
        <v>83</v>
      </c>
      <c r="F26" s="17">
        <v>585</v>
      </c>
      <c r="G26" s="17">
        <v>0</v>
      </c>
      <c r="H26" s="17">
        <f>F26*AE26</f>
        <v>0</v>
      </c>
      <c r="I26" s="17">
        <f>J26-H26</f>
        <v>0</v>
      </c>
      <c r="J26" s="17">
        <f>F26*G26</f>
        <v>0</v>
      </c>
      <c r="K26" s="17">
        <v>0.0317</v>
      </c>
      <c r="L26" s="17">
        <f>F26*K26</f>
        <v>18.5445</v>
      </c>
      <c r="M26" s="29" t="s">
        <v>109</v>
      </c>
      <c r="P26" s="34">
        <f>IF(AG26="5",J26,0)</f>
        <v>0</v>
      </c>
      <c r="R26" s="34">
        <f>IF(AG26="1",H26,0)</f>
        <v>0</v>
      </c>
      <c r="S26" s="34">
        <f>IF(AG26="1",I26,0)</f>
        <v>0</v>
      </c>
      <c r="T26" s="34">
        <f>IF(AG26="7",H26,0)</f>
        <v>0</v>
      </c>
      <c r="U26" s="34">
        <f>IF(AG26="7",I26,0)</f>
        <v>0</v>
      </c>
      <c r="V26" s="34">
        <f>IF(AG26="2",H26,0)</f>
        <v>0</v>
      </c>
      <c r="W26" s="34">
        <f>IF(AG26="2",I26,0)</f>
        <v>0</v>
      </c>
      <c r="X26" s="34">
        <f>IF(AG26="0",J26,0)</f>
        <v>0</v>
      </c>
      <c r="Y26" s="26"/>
      <c r="Z26" s="17">
        <f>IF(AD26=0,J26,0)</f>
        <v>0</v>
      </c>
      <c r="AA26" s="17">
        <f>IF(AD26=15,J26,0)</f>
        <v>0</v>
      </c>
      <c r="AB26" s="17">
        <f>IF(AD26=21,J26,0)</f>
        <v>0</v>
      </c>
      <c r="AD26" s="34">
        <v>0</v>
      </c>
      <c r="AE26" s="34">
        <f>G26*0.675324675324675</f>
        <v>0</v>
      </c>
      <c r="AF26" s="34">
        <f>G26*(1-0.675324675324675)</f>
        <v>0</v>
      </c>
      <c r="AG26" s="29" t="s">
        <v>7</v>
      </c>
      <c r="AM26" s="34">
        <f>F26*AE26</f>
        <v>0</v>
      </c>
      <c r="AN26" s="34">
        <f>F26*AF26</f>
        <v>0</v>
      </c>
      <c r="AO26" s="35" t="s">
        <v>124</v>
      </c>
      <c r="AP26" s="35" t="s">
        <v>131</v>
      </c>
      <c r="AQ26" s="26" t="s">
        <v>135</v>
      </c>
      <c r="AS26" s="34">
        <f>AM26+AN26</f>
        <v>0</v>
      </c>
      <c r="AT26" s="34">
        <f>G26/(100-AU26)*100</f>
        <v>0</v>
      </c>
      <c r="AU26" s="34">
        <v>0</v>
      </c>
      <c r="AV26" s="34">
        <f>L26</f>
        <v>18.5445</v>
      </c>
    </row>
    <row r="27" spans="1:37" ht="12.75">
      <c r="A27" s="5"/>
      <c r="B27" s="13"/>
      <c r="C27" s="13" t="s">
        <v>40</v>
      </c>
      <c r="D27" s="13" t="s">
        <v>68</v>
      </c>
      <c r="E27" s="5" t="s">
        <v>6</v>
      </c>
      <c r="F27" s="5" t="s">
        <v>6</v>
      </c>
      <c r="G27" s="5" t="s">
        <v>6</v>
      </c>
      <c r="H27" s="37">
        <f>SUM(H28:H28)</f>
        <v>0</v>
      </c>
      <c r="I27" s="37">
        <f>SUM(I28:I28)</f>
        <v>0</v>
      </c>
      <c r="J27" s="37">
        <f>H27+I27</f>
        <v>0</v>
      </c>
      <c r="K27" s="26"/>
      <c r="L27" s="37">
        <f>SUM(L28:L28)</f>
        <v>2.4</v>
      </c>
      <c r="M27" s="26"/>
      <c r="Y27" s="26"/>
      <c r="AI27" s="37">
        <f>SUM(Z28:Z28)</f>
        <v>0</v>
      </c>
      <c r="AJ27" s="37">
        <f>SUM(AA28:AA28)</f>
        <v>0</v>
      </c>
      <c r="AK27" s="37">
        <f>SUM(AB28:AB28)</f>
        <v>0</v>
      </c>
    </row>
    <row r="28" spans="1:48" ht="12.75">
      <c r="A28" s="4" t="s">
        <v>17</v>
      </c>
      <c r="B28" s="4"/>
      <c r="C28" s="4" t="s">
        <v>41</v>
      </c>
      <c r="D28" s="4" t="s">
        <v>69</v>
      </c>
      <c r="E28" s="4" t="s">
        <v>85</v>
      </c>
      <c r="F28" s="17">
        <v>5</v>
      </c>
      <c r="G28" s="17">
        <v>0</v>
      </c>
      <c r="H28" s="17">
        <f>F28*AE28</f>
        <v>0</v>
      </c>
      <c r="I28" s="17">
        <f>J28-H28</f>
        <v>0</v>
      </c>
      <c r="J28" s="17">
        <f>F28*G28</f>
        <v>0</v>
      </c>
      <c r="K28" s="17">
        <v>0.48</v>
      </c>
      <c r="L28" s="17">
        <f>F28*K28</f>
        <v>2.4</v>
      </c>
      <c r="M28" s="29" t="s">
        <v>109</v>
      </c>
      <c r="P28" s="34">
        <f>IF(AG28="5",J28,0)</f>
        <v>0</v>
      </c>
      <c r="R28" s="34">
        <f>IF(AG28="1",H28,0)</f>
        <v>0</v>
      </c>
      <c r="S28" s="34">
        <f>IF(AG28="1",I28,0)</f>
        <v>0</v>
      </c>
      <c r="T28" s="34">
        <f>IF(AG28="7",H28,0)</f>
        <v>0</v>
      </c>
      <c r="U28" s="34">
        <f>IF(AG28="7",I28,0)</f>
        <v>0</v>
      </c>
      <c r="V28" s="34">
        <f>IF(AG28="2",H28,0)</f>
        <v>0</v>
      </c>
      <c r="W28" s="34">
        <f>IF(AG28="2",I28,0)</f>
        <v>0</v>
      </c>
      <c r="X28" s="34">
        <f>IF(AG28="0",J28,0)</f>
        <v>0</v>
      </c>
      <c r="Y28" s="26"/>
      <c r="Z28" s="17">
        <f>IF(AD28=0,J28,0)</f>
        <v>0</v>
      </c>
      <c r="AA28" s="17">
        <f>IF(AD28=15,J28,0)</f>
        <v>0</v>
      </c>
      <c r="AB28" s="17">
        <f>IF(AD28=21,J28,0)</f>
        <v>0</v>
      </c>
      <c r="AD28" s="34">
        <v>0</v>
      </c>
      <c r="AE28" s="34">
        <f>G28*0.897209459459459</f>
        <v>0</v>
      </c>
      <c r="AF28" s="34">
        <f>G28*(1-0.897209459459459)</f>
        <v>0</v>
      </c>
      <c r="AG28" s="29" t="s">
        <v>7</v>
      </c>
      <c r="AM28" s="34">
        <f>F28*AE28</f>
        <v>0</v>
      </c>
      <c r="AN28" s="34">
        <f>F28*AF28</f>
        <v>0</v>
      </c>
      <c r="AO28" s="35" t="s">
        <v>125</v>
      </c>
      <c r="AP28" s="35" t="s">
        <v>131</v>
      </c>
      <c r="AQ28" s="26" t="s">
        <v>135</v>
      </c>
      <c r="AS28" s="34">
        <f>AM28+AN28</f>
        <v>0</v>
      </c>
      <c r="AT28" s="34">
        <f>G28/(100-AU28)*100</f>
        <v>0</v>
      </c>
      <c r="AU28" s="34">
        <v>0</v>
      </c>
      <c r="AV28" s="34">
        <f>L28</f>
        <v>2.4</v>
      </c>
    </row>
    <row r="29" spans="1:37" ht="12.75">
      <c r="A29" s="5"/>
      <c r="B29" s="13"/>
      <c r="C29" s="13" t="s">
        <v>42</v>
      </c>
      <c r="D29" s="13" t="s">
        <v>70</v>
      </c>
      <c r="E29" s="5" t="s">
        <v>6</v>
      </c>
      <c r="F29" s="5" t="s">
        <v>6</v>
      </c>
      <c r="G29" s="5" t="s">
        <v>6</v>
      </c>
      <c r="H29" s="37">
        <f>SUM(H30:H31)</f>
        <v>0</v>
      </c>
      <c r="I29" s="37">
        <f>SUM(I30:I31)</f>
        <v>0</v>
      </c>
      <c r="J29" s="37">
        <f>H29+I29</f>
        <v>0</v>
      </c>
      <c r="K29" s="26"/>
      <c r="L29" s="37">
        <f>SUM(L30:L31)</f>
        <v>0.8140000000000001</v>
      </c>
      <c r="M29" s="26"/>
      <c r="Y29" s="26"/>
      <c r="AI29" s="37">
        <f>SUM(Z30:Z31)</f>
        <v>0</v>
      </c>
      <c r="AJ29" s="37">
        <f>SUM(AA30:AA31)</f>
        <v>0</v>
      </c>
      <c r="AK29" s="37">
        <f>SUM(AB30:AB31)</f>
        <v>0</v>
      </c>
    </row>
    <row r="30" spans="1:48" ht="12.75">
      <c r="A30" s="4" t="s">
        <v>18</v>
      </c>
      <c r="B30" s="4"/>
      <c r="C30" s="4" t="s">
        <v>43</v>
      </c>
      <c r="D30" s="4" t="s">
        <v>71</v>
      </c>
      <c r="E30" s="4" t="s">
        <v>84</v>
      </c>
      <c r="F30" s="17">
        <v>5</v>
      </c>
      <c r="G30" s="17">
        <v>0</v>
      </c>
      <c r="H30" s="17">
        <f>F30*AE30</f>
        <v>0</v>
      </c>
      <c r="I30" s="17">
        <f>J30-H30</f>
        <v>0</v>
      </c>
      <c r="J30" s="17">
        <f>F30*G30</f>
        <v>0</v>
      </c>
      <c r="K30" s="17">
        <v>0.0028</v>
      </c>
      <c r="L30" s="17">
        <f>F30*K30</f>
        <v>0.014</v>
      </c>
      <c r="M30" s="29" t="s">
        <v>109</v>
      </c>
      <c r="P30" s="34">
        <f>IF(AG30="5",J30,0)</f>
        <v>0</v>
      </c>
      <c r="R30" s="34">
        <f>IF(AG30="1",H30,0)</f>
        <v>0</v>
      </c>
      <c r="S30" s="34">
        <f>IF(AG30="1",I30,0)</f>
        <v>0</v>
      </c>
      <c r="T30" s="34">
        <f>IF(AG30="7",H30,0)</f>
        <v>0</v>
      </c>
      <c r="U30" s="34">
        <f>IF(AG30="7",I30,0)</f>
        <v>0</v>
      </c>
      <c r="V30" s="34">
        <f>IF(AG30="2",H30,0)</f>
        <v>0</v>
      </c>
      <c r="W30" s="34">
        <f>IF(AG30="2",I30,0)</f>
        <v>0</v>
      </c>
      <c r="X30" s="34">
        <f>IF(AG30="0",J30,0)</f>
        <v>0</v>
      </c>
      <c r="Y30" s="26"/>
      <c r="Z30" s="17">
        <f>IF(AD30=0,J30,0)</f>
        <v>0</v>
      </c>
      <c r="AA30" s="17">
        <f>IF(AD30=15,J30,0)</f>
        <v>0</v>
      </c>
      <c r="AB30" s="17">
        <f>IF(AD30=21,J30,0)</f>
        <v>0</v>
      </c>
      <c r="AD30" s="34">
        <v>0</v>
      </c>
      <c r="AE30" s="34">
        <f>G30*0.074620320855615</f>
        <v>0</v>
      </c>
      <c r="AF30" s="34">
        <f>G30*(1-0.074620320855615)</f>
        <v>0</v>
      </c>
      <c r="AG30" s="29" t="s">
        <v>7</v>
      </c>
      <c r="AM30" s="34">
        <f>F30*AE30</f>
        <v>0</v>
      </c>
      <c r="AN30" s="34">
        <f>F30*AF30</f>
        <v>0</v>
      </c>
      <c r="AO30" s="35" t="s">
        <v>126</v>
      </c>
      <c r="AP30" s="35" t="s">
        <v>132</v>
      </c>
      <c r="AQ30" s="26" t="s">
        <v>135</v>
      </c>
      <c r="AS30" s="34">
        <f>AM30+AN30</f>
        <v>0</v>
      </c>
      <c r="AT30" s="34">
        <f>G30/(100-AU30)*100</f>
        <v>0</v>
      </c>
      <c r="AU30" s="34">
        <v>0</v>
      </c>
      <c r="AV30" s="34">
        <f>L30</f>
        <v>0.014</v>
      </c>
    </row>
    <row r="31" spans="1:48" ht="12.75">
      <c r="A31" s="4" t="s">
        <v>19</v>
      </c>
      <c r="B31" s="4"/>
      <c r="C31" s="4" t="s">
        <v>44</v>
      </c>
      <c r="D31" s="4" t="s">
        <v>72</v>
      </c>
      <c r="E31" s="4" t="s">
        <v>84</v>
      </c>
      <c r="F31" s="17">
        <v>2</v>
      </c>
      <c r="G31" s="17">
        <v>0</v>
      </c>
      <c r="H31" s="17">
        <f>F31*AE31</f>
        <v>0</v>
      </c>
      <c r="I31" s="17">
        <f>J31-H31</f>
        <v>0</v>
      </c>
      <c r="J31" s="17">
        <f>F31*G31</f>
        <v>0</v>
      </c>
      <c r="K31" s="17">
        <v>0.4</v>
      </c>
      <c r="L31" s="17">
        <f>F31*K31</f>
        <v>0.8</v>
      </c>
      <c r="M31" s="29" t="s">
        <v>109</v>
      </c>
      <c r="P31" s="34">
        <f>IF(AG31="5",J31,0)</f>
        <v>0</v>
      </c>
      <c r="R31" s="34">
        <f>IF(AG31="1",H31,0)</f>
        <v>0</v>
      </c>
      <c r="S31" s="34">
        <f>IF(AG31="1",I31,0)</f>
        <v>0</v>
      </c>
      <c r="T31" s="34">
        <f>IF(AG31="7",H31,0)</f>
        <v>0</v>
      </c>
      <c r="U31" s="34">
        <f>IF(AG31="7",I31,0)</f>
        <v>0</v>
      </c>
      <c r="V31" s="34">
        <f>IF(AG31="2",H31,0)</f>
        <v>0</v>
      </c>
      <c r="W31" s="34">
        <f>IF(AG31="2",I31,0)</f>
        <v>0</v>
      </c>
      <c r="X31" s="34">
        <f>IF(AG31="0",J31,0)</f>
        <v>0</v>
      </c>
      <c r="Y31" s="26"/>
      <c r="Z31" s="17">
        <f>IF(AD31=0,J31,0)</f>
        <v>0</v>
      </c>
      <c r="AA31" s="17">
        <f>IF(AD31=15,J31,0)</f>
        <v>0</v>
      </c>
      <c r="AB31" s="17">
        <f>IF(AD31=21,J31,0)</f>
        <v>0</v>
      </c>
      <c r="AD31" s="34">
        <v>0</v>
      </c>
      <c r="AE31" s="34">
        <f>G31*0.233824258129503</f>
        <v>0</v>
      </c>
      <c r="AF31" s="34">
        <f>G31*(1-0.233824258129503)</f>
        <v>0</v>
      </c>
      <c r="AG31" s="29" t="s">
        <v>7</v>
      </c>
      <c r="AM31" s="34">
        <f>F31*AE31</f>
        <v>0</v>
      </c>
      <c r="AN31" s="34">
        <f>F31*AF31</f>
        <v>0</v>
      </c>
      <c r="AO31" s="35" t="s">
        <v>126</v>
      </c>
      <c r="AP31" s="35" t="s">
        <v>132</v>
      </c>
      <c r="AQ31" s="26" t="s">
        <v>135</v>
      </c>
      <c r="AS31" s="34">
        <f>AM31+AN31</f>
        <v>0</v>
      </c>
      <c r="AT31" s="34">
        <f>G31/(100-AU31)*100</f>
        <v>0</v>
      </c>
      <c r="AU31" s="34">
        <v>0</v>
      </c>
      <c r="AV31" s="34">
        <f>L31</f>
        <v>0.8</v>
      </c>
    </row>
    <row r="32" spans="1:37" ht="12.75">
      <c r="A32" s="5"/>
      <c r="B32" s="13"/>
      <c r="C32" s="13" t="s">
        <v>45</v>
      </c>
      <c r="D32" s="13" t="s">
        <v>73</v>
      </c>
      <c r="E32" s="5" t="s">
        <v>6</v>
      </c>
      <c r="F32" s="5" t="s">
        <v>6</v>
      </c>
      <c r="G32" s="5" t="s">
        <v>6</v>
      </c>
      <c r="H32" s="37">
        <f>SUM(H33:H33)</f>
        <v>0</v>
      </c>
      <c r="I32" s="37">
        <f>SUM(I33:I33)</f>
        <v>0</v>
      </c>
      <c r="J32" s="37">
        <f>H32+I32</f>
        <v>0</v>
      </c>
      <c r="K32" s="26"/>
      <c r="L32" s="37">
        <f>SUM(L33:L33)</f>
        <v>0</v>
      </c>
      <c r="M32" s="26"/>
      <c r="Y32" s="26"/>
      <c r="AI32" s="37">
        <f>SUM(Z33:Z33)</f>
        <v>0</v>
      </c>
      <c r="AJ32" s="37">
        <f>SUM(AA33:AA33)</f>
        <v>0</v>
      </c>
      <c r="AK32" s="37">
        <f>SUM(AB33:AB33)</f>
        <v>0</v>
      </c>
    </row>
    <row r="33" spans="1:48" ht="12.75">
      <c r="A33" s="4" t="s">
        <v>20</v>
      </c>
      <c r="B33" s="4"/>
      <c r="C33" s="4" t="s">
        <v>45</v>
      </c>
      <c r="D33" s="4" t="s">
        <v>74</v>
      </c>
      <c r="E33" s="4" t="s">
        <v>86</v>
      </c>
      <c r="F33" s="17">
        <v>2</v>
      </c>
      <c r="G33" s="17">
        <v>0</v>
      </c>
      <c r="H33" s="17">
        <f>F33*AE33</f>
        <v>0</v>
      </c>
      <c r="I33" s="17">
        <f>J33-H33</f>
        <v>0</v>
      </c>
      <c r="J33" s="17">
        <f>F33*G33</f>
        <v>0</v>
      </c>
      <c r="K33" s="17">
        <v>0</v>
      </c>
      <c r="L33" s="17">
        <f>F33*K33</f>
        <v>0</v>
      </c>
      <c r="M33" s="29"/>
      <c r="P33" s="34">
        <f>IF(AG33="5",J33,0)</f>
        <v>0</v>
      </c>
      <c r="R33" s="34">
        <f>IF(AG33="1",H33,0)</f>
        <v>0</v>
      </c>
      <c r="S33" s="34">
        <f>IF(AG33="1",I33,0)</f>
        <v>0</v>
      </c>
      <c r="T33" s="34">
        <f>IF(AG33="7",H33,0)</f>
        <v>0</v>
      </c>
      <c r="U33" s="34">
        <f>IF(AG33="7",I33,0)</f>
        <v>0</v>
      </c>
      <c r="V33" s="34">
        <f>IF(AG33="2",H33,0)</f>
        <v>0</v>
      </c>
      <c r="W33" s="34">
        <f>IF(AG33="2",I33,0)</f>
        <v>0</v>
      </c>
      <c r="X33" s="34">
        <f>IF(AG33="0",J33,0)</f>
        <v>0</v>
      </c>
      <c r="Y33" s="26"/>
      <c r="Z33" s="17">
        <f>IF(AD33=0,J33,0)</f>
        <v>0</v>
      </c>
      <c r="AA33" s="17">
        <f>IF(AD33=15,J33,0)</f>
        <v>0</v>
      </c>
      <c r="AB33" s="17">
        <f>IF(AD33=21,J33,0)</f>
        <v>0</v>
      </c>
      <c r="AD33" s="34">
        <v>0</v>
      </c>
      <c r="AE33" s="34">
        <f>G33*1</f>
        <v>0</v>
      </c>
      <c r="AF33" s="34">
        <f>G33*(1-1)</f>
        <v>0</v>
      </c>
      <c r="AG33" s="29" t="s">
        <v>13</v>
      </c>
      <c r="AM33" s="34">
        <f>F33*AE33</f>
        <v>0</v>
      </c>
      <c r="AN33" s="34">
        <f>F33*AF33</f>
        <v>0</v>
      </c>
      <c r="AO33" s="35" t="s">
        <v>127</v>
      </c>
      <c r="AP33" s="35" t="s">
        <v>133</v>
      </c>
      <c r="AQ33" s="26" t="s">
        <v>135</v>
      </c>
      <c r="AS33" s="34">
        <f>AM33+AN33</f>
        <v>0</v>
      </c>
      <c r="AT33" s="34">
        <f>G33/(100-AU33)*100</f>
        <v>0</v>
      </c>
      <c r="AU33" s="34">
        <v>0</v>
      </c>
      <c r="AV33" s="34">
        <f>L33</f>
        <v>0</v>
      </c>
    </row>
    <row r="34" spans="1:37" ht="12.75">
      <c r="A34" s="5"/>
      <c r="B34" s="13"/>
      <c r="C34" s="13"/>
      <c r="D34" s="13" t="s">
        <v>75</v>
      </c>
      <c r="E34" s="5" t="s">
        <v>6</v>
      </c>
      <c r="F34" s="5" t="s">
        <v>6</v>
      </c>
      <c r="G34" s="5" t="s">
        <v>6</v>
      </c>
      <c r="H34" s="37">
        <f>SUM(H35:H36)</f>
        <v>0</v>
      </c>
      <c r="I34" s="37">
        <f>SUM(I35:I36)</f>
        <v>0</v>
      </c>
      <c r="J34" s="37">
        <f>H34+I34</f>
        <v>0</v>
      </c>
      <c r="K34" s="26"/>
      <c r="L34" s="37">
        <f>SUM(L35:L36)</f>
        <v>5.908</v>
      </c>
      <c r="M34" s="26"/>
      <c r="Y34" s="26"/>
      <c r="AI34" s="37">
        <f>SUM(Z35:Z36)</f>
        <v>0</v>
      </c>
      <c r="AJ34" s="37">
        <f>SUM(AA35:AA36)</f>
        <v>0</v>
      </c>
      <c r="AK34" s="37">
        <f>SUM(AB35:AB36)</f>
        <v>0</v>
      </c>
    </row>
    <row r="35" spans="1:48" ht="12.75">
      <c r="A35" s="6" t="s">
        <v>21</v>
      </c>
      <c r="B35" s="6"/>
      <c r="C35" s="6" t="s">
        <v>46</v>
      </c>
      <c r="D35" s="6" t="s">
        <v>76</v>
      </c>
      <c r="E35" s="6" t="s">
        <v>84</v>
      </c>
      <c r="F35" s="18">
        <v>2</v>
      </c>
      <c r="G35" s="18">
        <v>0</v>
      </c>
      <c r="H35" s="18">
        <f>F35*AE35</f>
        <v>0</v>
      </c>
      <c r="I35" s="18">
        <f>J35-H35</f>
        <v>0</v>
      </c>
      <c r="J35" s="18">
        <f>F35*G35</f>
        <v>0</v>
      </c>
      <c r="K35" s="18">
        <v>0.056</v>
      </c>
      <c r="L35" s="18">
        <f>F35*K35</f>
        <v>0.112</v>
      </c>
      <c r="M35" s="30" t="s">
        <v>109</v>
      </c>
      <c r="P35" s="34">
        <f>IF(AG35="5",J35,0)</f>
        <v>0</v>
      </c>
      <c r="R35" s="34">
        <f>IF(AG35="1",H35,0)</f>
        <v>0</v>
      </c>
      <c r="S35" s="34">
        <f>IF(AG35="1",I35,0)</f>
        <v>0</v>
      </c>
      <c r="T35" s="34">
        <f>IF(AG35="7",H35,0)</f>
        <v>0</v>
      </c>
      <c r="U35" s="34">
        <f>IF(AG35="7",I35,0)</f>
        <v>0</v>
      </c>
      <c r="V35" s="34">
        <f>IF(AG35="2",H35,0)</f>
        <v>0</v>
      </c>
      <c r="W35" s="34">
        <f>IF(AG35="2",I35,0)</f>
        <v>0</v>
      </c>
      <c r="X35" s="34">
        <f>IF(AG35="0",J35,0)</f>
        <v>0</v>
      </c>
      <c r="Y35" s="26"/>
      <c r="Z35" s="18">
        <f>IF(AD35=0,J35,0)</f>
        <v>0</v>
      </c>
      <c r="AA35" s="18">
        <f>IF(AD35=15,J35,0)</f>
        <v>0</v>
      </c>
      <c r="AB35" s="18">
        <f>IF(AD35=21,J35,0)</f>
        <v>0</v>
      </c>
      <c r="AD35" s="34">
        <v>0</v>
      </c>
      <c r="AE35" s="34">
        <f>G35*1</f>
        <v>0</v>
      </c>
      <c r="AF35" s="34">
        <f>G35*(1-1)</f>
        <v>0</v>
      </c>
      <c r="AG35" s="30" t="s">
        <v>119</v>
      </c>
      <c r="AM35" s="34">
        <f>F35*AE35</f>
        <v>0</v>
      </c>
      <c r="AN35" s="34">
        <f>F35*AF35</f>
        <v>0</v>
      </c>
      <c r="AO35" s="35" t="s">
        <v>128</v>
      </c>
      <c r="AP35" s="35" t="s">
        <v>134</v>
      </c>
      <c r="AQ35" s="26" t="s">
        <v>135</v>
      </c>
      <c r="AS35" s="34">
        <f>AM35+AN35</f>
        <v>0</v>
      </c>
      <c r="AT35" s="34">
        <f>G35/(100-AU35)*100</f>
        <v>0</v>
      </c>
      <c r="AU35" s="34">
        <v>0</v>
      </c>
      <c r="AV35" s="34">
        <f>L35</f>
        <v>0.112</v>
      </c>
    </row>
    <row r="36" spans="1:48" ht="12.75">
      <c r="A36" s="7" t="s">
        <v>22</v>
      </c>
      <c r="B36" s="7"/>
      <c r="C36" s="7" t="s">
        <v>47</v>
      </c>
      <c r="D36" s="7" t="s">
        <v>77</v>
      </c>
      <c r="E36" s="7" t="s">
        <v>84</v>
      </c>
      <c r="F36" s="19">
        <v>42</v>
      </c>
      <c r="G36" s="19">
        <v>0</v>
      </c>
      <c r="H36" s="19">
        <f>F36*AE36</f>
        <v>0</v>
      </c>
      <c r="I36" s="19">
        <f>J36-H36</f>
        <v>0</v>
      </c>
      <c r="J36" s="19">
        <f>F36*G36</f>
        <v>0</v>
      </c>
      <c r="K36" s="19">
        <v>0.138</v>
      </c>
      <c r="L36" s="19">
        <f>F36*K36</f>
        <v>5.796</v>
      </c>
      <c r="M36" s="31" t="s">
        <v>109</v>
      </c>
      <c r="P36" s="34">
        <f>IF(AG36="5",J36,0)</f>
        <v>0</v>
      </c>
      <c r="R36" s="34">
        <f>IF(AG36="1",H36,0)</f>
        <v>0</v>
      </c>
      <c r="S36" s="34">
        <f>IF(AG36="1",I36,0)</f>
        <v>0</v>
      </c>
      <c r="T36" s="34">
        <f>IF(AG36="7",H36,0)</f>
        <v>0</v>
      </c>
      <c r="U36" s="34">
        <f>IF(AG36="7",I36,0)</f>
        <v>0</v>
      </c>
      <c r="V36" s="34">
        <f>IF(AG36="2",H36,0)</f>
        <v>0</v>
      </c>
      <c r="W36" s="34">
        <f>IF(AG36="2",I36,0)</f>
        <v>0</v>
      </c>
      <c r="X36" s="34">
        <f>IF(AG36="0",J36,0)</f>
        <v>0</v>
      </c>
      <c r="Y36" s="26"/>
      <c r="Z36" s="18">
        <f>IF(AD36=0,J36,0)</f>
        <v>0</v>
      </c>
      <c r="AA36" s="18">
        <f>IF(AD36=15,J36,0)</f>
        <v>0</v>
      </c>
      <c r="AB36" s="18">
        <f>IF(AD36=21,J36,0)</f>
        <v>0</v>
      </c>
      <c r="AD36" s="34">
        <v>0</v>
      </c>
      <c r="AE36" s="34">
        <f>G36*1</f>
        <v>0</v>
      </c>
      <c r="AF36" s="34">
        <f>G36*(1-1)</f>
        <v>0</v>
      </c>
      <c r="AG36" s="30" t="s">
        <v>119</v>
      </c>
      <c r="AM36" s="34">
        <f>F36*AE36</f>
        <v>0</v>
      </c>
      <c r="AN36" s="34">
        <f>F36*AF36</f>
        <v>0</v>
      </c>
      <c r="AO36" s="35" t="s">
        <v>128</v>
      </c>
      <c r="AP36" s="35" t="s">
        <v>134</v>
      </c>
      <c r="AQ36" s="26" t="s">
        <v>135</v>
      </c>
      <c r="AS36" s="34">
        <f>AM36+AN36</f>
        <v>0</v>
      </c>
      <c r="AT36" s="34">
        <f>G36/(100-AU36)*100</f>
        <v>0</v>
      </c>
      <c r="AU36" s="34">
        <v>0</v>
      </c>
      <c r="AV36" s="34">
        <f>L36</f>
        <v>5.796</v>
      </c>
    </row>
    <row r="37" spans="1:13" ht="12.75">
      <c r="A37" s="8"/>
      <c r="B37" s="8"/>
      <c r="C37" s="8"/>
      <c r="D37" s="8"/>
      <c r="E37" s="8"/>
      <c r="F37" s="8"/>
      <c r="G37" s="8"/>
      <c r="H37" s="69" t="s">
        <v>96</v>
      </c>
      <c r="I37" s="70"/>
      <c r="J37" s="38">
        <f>J12+J19+J21+J23+J25+J27+J29+J32+J34</f>
        <v>0</v>
      </c>
      <c r="K37" s="8"/>
      <c r="L37" s="8"/>
      <c r="M37" s="8"/>
    </row>
    <row r="38" ht="11.25" customHeight="1">
      <c r="A38" s="9" t="s">
        <v>23</v>
      </c>
    </row>
    <row r="39" spans="1:13" ht="12.75">
      <c r="A39" s="71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</row>
  </sheetData>
  <sheetProtection/>
  <mergeCells count="29">
    <mergeCell ref="A1:M1"/>
    <mergeCell ref="A2:C3"/>
    <mergeCell ref="D2:D3"/>
    <mergeCell ref="E2:F3"/>
    <mergeCell ref="G2:H3"/>
    <mergeCell ref="I2:I3"/>
    <mergeCell ref="J2:M3"/>
    <mergeCell ref="A4:C5"/>
    <mergeCell ref="D4:D5"/>
    <mergeCell ref="E4:F5"/>
    <mergeCell ref="G4:H5"/>
    <mergeCell ref="I4:I5"/>
    <mergeCell ref="J4:M5"/>
    <mergeCell ref="A6:C7"/>
    <mergeCell ref="D6:D7"/>
    <mergeCell ref="E6:F7"/>
    <mergeCell ref="G6:H7"/>
    <mergeCell ref="I6:I7"/>
    <mergeCell ref="J6:M7"/>
    <mergeCell ref="H10:J10"/>
    <mergeCell ref="K10:L10"/>
    <mergeCell ref="H37:I37"/>
    <mergeCell ref="A39:M39"/>
    <mergeCell ref="A8:C9"/>
    <mergeCell ref="D8:D9"/>
    <mergeCell ref="E8:F9"/>
    <mergeCell ref="G8:H9"/>
    <mergeCell ref="I8:I9"/>
    <mergeCell ref="J8:M9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B38" sqref="B38"/>
    </sheetView>
  </sheetViews>
  <sheetFormatPr defaultColWidth="11.57421875" defaultRowHeight="12.75"/>
  <cols>
    <col min="1" max="2" width="16.57421875" style="0" customWidth="1"/>
    <col min="3" max="3" width="59.140625" style="0" customWidth="1"/>
    <col min="4" max="4" width="22.140625" style="0" customWidth="1"/>
    <col min="5" max="5" width="21.00390625" style="0" customWidth="1"/>
    <col min="6" max="6" width="20.8515625" style="0" customWidth="1"/>
    <col min="7" max="7" width="19.7109375" style="0" customWidth="1"/>
    <col min="8" max="9" width="0" style="0" hidden="1" customWidth="1"/>
  </cols>
  <sheetData>
    <row r="1" spans="1:7" ht="72.75" customHeight="1">
      <c r="A1" s="80" t="s">
        <v>136</v>
      </c>
      <c r="B1" s="81"/>
      <c r="C1" s="81"/>
      <c r="D1" s="81"/>
      <c r="E1" s="81"/>
      <c r="F1" s="81"/>
      <c r="G1" s="81"/>
    </row>
    <row r="2" spans="1:8" ht="12.75">
      <c r="A2" s="82" t="s">
        <v>1</v>
      </c>
      <c r="B2" s="84" t="str">
        <f>'Stavební rozpočet - položky'!D2</f>
        <v>Pěší stezka "Kamenický kopec" Zákupy</v>
      </c>
      <c r="C2" s="70"/>
      <c r="D2" s="87" t="s">
        <v>97</v>
      </c>
      <c r="E2" s="87" t="str">
        <f>'Stavební rozpočet - položky'!J2</f>
        <v>Město Zákupy, Borská 5, Zákupy</v>
      </c>
      <c r="F2" s="83"/>
      <c r="G2" s="88"/>
      <c r="H2" s="32"/>
    </row>
    <row r="3" spans="1:8" ht="12.75">
      <c r="A3" s="79"/>
      <c r="B3" s="85"/>
      <c r="C3" s="85"/>
      <c r="D3" s="72"/>
      <c r="E3" s="72"/>
      <c r="F3" s="72"/>
      <c r="G3" s="77"/>
      <c r="H3" s="32"/>
    </row>
    <row r="4" spans="1:8" ht="12.75">
      <c r="A4" s="73" t="s">
        <v>2</v>
      </c>
      <c r="B4" s="71" t="str">
        <f>'Stavební rozpočet - položky'!D4</f>
        <v>novostavba-pěší turistika</v>
      </c>
      <c r="C4" s="72"/>
      <c r="D4" s="71" t="s">
        <v>98</v>
      </c>
      <c r="E4" s="71" t="str">
        <f>'Stavební rozpočet - položky'!J4</f>
        <v>E. Jašková</v>
      </c>
      <c r="F4" s="72"/>
      <c r="G4" s="77"/>
      <c r="H4" s="32"/>
    </row>
    <row r="5" spans="1:8" ht="12.75">
      <c r="A5" s="79"/>
      <c r="B5" s="72"/>
      <c r="C5" s="72"/>
      <c r="D5" s="72"/>
      <c r="E5" s="72"/>
      <c r="F5" s="72"/>
      <c r="G5" s="77"/>
      <c r="H5" s="32"/>
    </row>
    <row r="6" spans="1:8" ht="12.75">
      <c r="A6" s="73" t="s">
        <v>3</v>
      </c>
      <c r="B6" s="71" t="str">
        <f>'Stavební rozpočet - položky'!D6</f>
        <v>Zákupy</v>
      </c>
      <c r="C6" s="72"/>
      <c r="D6" s="71" t="s">
        <v>99</v>
      </c>
      <c r="E6" s="71" t="str">
        <f>'Stavební rozpočet - položky'!J6</f>
        <v> </v>
      </c>
      <c r="F6" s="72"/>
      <c r="G6" s="77"/>
      <c r="H6" s="32"/>
    </row>
    <row r="7" spans="1:8" ht="12.75">
      <c r="A7" s="79"/>
      <c r="B7" s="72"/>
      <c r="C7" s="72"/>
      <c r="D7" s="72"/>
      <c r="E7" s="72"/>
      <c r="F7" s="72"/>
      <c r="G7" s="77"/>
      <c r="H7" s="32"/>
    </row>
    <row r="8" spans="1:8" ht="12.75">
      <c r="A8" s="73" t="s">
        <v>100</v>
      </c>
      <c r="B8" s="71" t="str">
        <f>'Stavební rozpočet - položky'!J8</f>
        <v>Jašková Eliška</v>
      </c>
      <c r="C8" s="72"/>
      <c r="D8" s="76" t="s">
        <v>81</v>
      </c>
      <c r="E8" s="71" t="str">
        <f>'Stavební rozpočet - položky'!G8</f>
        <v>28.03.2018</v>
      </c>
      <c r="F8" s="72"/>
      <c r="G8" s="77"/>
      <c r="H8" s="32"/>
    </row>
    <row r="9" spans="1:8" ht="12.75">
      <c r="A9" s="74"/>
      <c r="B9" s="75"/>
      <c r="C9" s="75"/>
      <c r="D9" s="75"/>
      <c r="E9" s="75"/>
      <c r="F9" s="75"/>
      <c r="G9" s="78"/>
      <c r="H9" s="32"/>
    </row>
    <row r="10" spans="1:8" ht="12.75">
      <c r="A10" s="39" t="s">
        <v>24</v>
      </c>
      <c r="B10" s="41" t="s">
        <v>25</v>
      </c>
      <c r="C10" s="42" t="s">
        <v>51</v>
      </c>
      <c r="D10" s="43" t="s">
        <v>137</v>
      </c>
      <c r="E10" s="43" t="s">
        <v>138</v>
      </c>
      <c r="F10" s="43" t="s">
        <v>139</v>
      </c>
      <c r="G10" s="45" t="s">
        <v>140</v>
      </c>
      <c r="H10" s="33"/>
    </row>
    <row r="11" spans="1:9" ht="12.75">
      <c r="A11" s="40"/>
      <c r="B11" s="40" t="s">
        <v>17</v>
      </c>
      <c r="C11" s="40" t="s">
        <v>53</v>
      </c>
      <c r="D11" s="46">
        <f>'Stavební rozpočet - položky'!H12</f>
        <v>0</v>
      </c>
      <c r="E11" s="46">
        <f>'Stavební rozpočet - položky'!I12</f>
        <v>0</v>
      </c>
      <c r="F11" s="46">
        <f aca="true" t="shared" si="0" ref="F11:F19">D11+E11</f>
        <v>0</v>
      </c>
      <c r="G11" s="46">
        <f>'Stavební rozpočet - položky'!L12</f>
        <v>0.006500000000000001</v>
      </c>
      <c r="H11" s="34" t="s">
        <v>141</v>
      </c>
      <c r="I11" s="34">
        <f aca="true" t="shared" si="1" ref="I11:I19">IF(H11="F",0,F11)</f>
        <v>0</v>
      </c>
    </row>
    <row r="12" spans="1:9" ht="12.75">
      <c r="A12" s="15"/>
      <c r="B12" s="15" t="s">
        <v>32</v>
      </c>
      <c r="C12" s="15" t="s">
        <v>60</v>
      </c>
      <c r="D12" s="34">
        <f>'Stavební rozpočet - položky'!H19</f>
        <v>0</v>
      </c>
      <c r="E12" s="34">
        <f>'Stavební rozpočet - položky'!I19</f>
        <v>0</v>
      </c>
      <c r="F12" s="34">
        <f t="shared" si="0"/>
        <v>0</v>
      </c>
      <c r="G12" s="34">
        <f>'Stavební rozpočet - položky'!L19</f>
        <v>0</v>
      </c>
      <c r="H12" s="34" t="s">
        <v>141</v>
      </c>
      <c r="I12" s="34">
        <f t="shared" si="1"/>
        <v>0</v>
      </c>
    </row>
    <row r="13" spans="1:9" ht="12.75">
      <c r="A13" s="15"/>
      <c r="B13" s="15" t="s">
        <v>34</v>
      </c>
      <c r="C13" s="15" t="s">
        <v>62</v>
      </c>
      <c r="D13" s="34">
        <f>'Stavební rozpočet - položky'!H21</f>
        <v>0</v>
      </c>
      <c r="E13" s="34">
        <f>'Stavební rozpočet - položky'!I21</f>
        <v>0</v>
      </c>
      <c r="F13" s="34">
        <f t="shared" si="0"/>
        <v>0</v>
      </c>
      <c r="G13" s="34">
        <f>'Stavební rozpočet - položky'!L21</f>
        <v>48.18</v>
      </c>
      <c r="H13" s="34" t="s">
        <v>141</v>
      </c>
      <c r="I13" s="34">
        <f t="shared" si="1"/>
        <v>0</v>
      </c>
    </row>
    <row r="14" spans="1:9" ht="12.75">
      <c r="A14" s="15"/>
      <c r="B14" s="15" t="s">
        <v>36</v>
      </c>
      <c r="C14" s="15" t="s">
        <v>64</v>
      </c>
      <c r="D14" s="34">
        <f>'Stavební rozpočet - položky'!H23</f>
        <v>0</v>
      </c>
      <c r="E14" s="34">
        <f>'Stavební rozpočet - položky'!I23</f>
        <v>0</v>
      </c>
      <c r="F14" s="34">
        <f t="shared" si="0"/>
        <v>0</v>
      </c>
      <c r="G14" s="34">
        <f>'Stavební rozpočet - položky'!L23</f>
        <v>322.48125</v>
      </c>
      <c r="H14" s="34" t="s">
        <v>141</v>
      </c>
      <c r="I14" s="34">
        <f t="shared" si="1"/>
        <v>0</v>
      </c>
    </row>
    <row r="15" spans="1:9" ht="12.75">
      <c r="A15" s="15"/>
      <c r="B15" s="15" t="s">
        <v>38</v>
      </c>
      <c r="C15" s="15" t="s">
        <v>66</v>
      </c>
      <c r="D15" s="34">
        <f>'Stavební rozpočet - položky'!H25</f>
        <v>0</v>
      </c>
      <c r="E15" s="34">
        <f>'Stavební rozpočet - položky'!I25</f>
        <v>0</v>
      </c>
      <c r="F15" s="34">
        <f t="shared" si="0"/>
        <v>0</v>
      </c>
      <c r="G15" s="34">
        <f>'Stavební rozpočet - položky'!L25</f>
        <v>18.5445</v>
      </c>
      <c r="H15" s="34" t="s">
        <v>141</v>
      </c>
      <c r="I15" s="34">
        <f t="shared" si="1"/>
        <v>0</v>
      </c>
    </row>
    <row r="16" spans="1:9" ht="12.75">
      <c r="A16" s="15"/>
      <c r="B16" s="15" t="s">
        <v>40</v>
      </c>
      <c r="C16" s="15" t="s">
        <v>68</v>
      </c>
      <c r="D16" s="34">
        <f>'Stavební rozpočet - položky'!H27</f>
        <v>0</v>
      </c>
      <c r="E16" s="34">
        <f>'Stavební rozpočet - položky'!I27</f>
        <v>0</v>
      </c>
      <c r="F16" s="34">
        <f t="shared" si="0"/>
        <v>0</v>
      </c>
      <c r="G16" s="34">
        <f>'Stavební rozpočet - položky'!L27</f>
        <v>2.4</v>
      </c>
      <c r="H16" s="34" t="s">
        <v>141</v>
      </c>
      <c r="I16" s="34">
        <f t="shared" si="1"/>
        <v>0</v>
      </c>
    </row>
    <row r="17" spans="1:9" ht="12.75">
      <c r="A17" s="15"/>
      <c r="B17" s="15" t="s">
        <v>42</v>
      </c>
      <c r="C17" s="15" t="s">
        <v>70</v>
      </c>
      <c r="D17" s="34">
        <f>'Stavební rozpočet - položky'!H29</f>
        <v>0</v>
      </c>
      <c r="E17" s="34">
        <f>'Stavební rozpočet - položky'!I29</f>
        <v>0</v>
      </c>
      <c r="F17" s="34">
        <f t="shared" si="0"/>
        <v>0</v>
      </c>
      <c r="G17" s="34">
        <f>'Stavební rozpočet - položky'!L29</f>
        <v>0.8140000000000001</v>
      </c>
      <c r="H17" s="34" t="s">
        <v>141</v>
      </c>
      <c r="I17" s="34">
        <f t="shared" si="1"/>
        <v>0</v>
      </c>
    </row>
    <row r="18" spans="1:9" ht="12.75">
      <c r="A18" s="15"/>
      <c r="B18" s="15" t="s">
        <v>45</v>
      </c>
      <c r="C18" s="15" t="s">
        <v>73</v>
      </c>
      <c r="D18" s="34">
        <f>'Stavební rozpočet - položky'!H32</f>
        <v>0</v>
      </c>
      <c r="E18" s="34">
        <f>'Stavební rozpočet - položky'!I32</f>
        <v>0</v>
      </c>
      <c r="F18" s="34">
        <f t="shared" si="0"/>
        <v>0</v>
      </c>
      <c r="G18" s="34">
        <f>'Stavební rozpočet - položky'!L32</f>
        <v>0</v>
      </c>
      <c r="H18" s="34" t="s">
        <v>141</v>
      </c>
      <c r="I18" s="34">
        <f t="shared" si="1"/>
        <v>0</v>
      </c>
    </row>
    <row r="19" spans="1:9" ht="12.75">
      <c r="A19" s="15"/>
      <c r="B19" s="15"/>
      <c r="C19" s="15" t="s">
        <v>75</v>
      </c>
      <c r="D19" s="34">
        <f>'Stavební rozpočet - položky'!H34</f>
        <v>0</v>
      </c>
      <c r="E19" s="34">
        <f>'Stavební rozpočet - položky'!I34</f>
        <v>0</v>
      </c>
      <c r="F19" s="34">
        <f t="shared" si="0"/>
        <v>0</v>
      </c>
      <c r="G19" s="34">
        <f>'Stavební rozpočet - položky'!L34</f>
        <v>5.908</v>
      </c>
      <c r="H19" s="34" t="s">
        <v>141</v>
      </c>
      <c r="I19" s="34">
        <f t="shared" si="1"/>
        <v>0</v>
      </c>
    </row>
    <row r="21" spans="5:6" ht="12.75">
      <c r="E21" s="44" t="s">
        <v>96</v>
      </c>
      <c r="F21" s="47">
        <f>SUM(I11:I19)</f>
        <v>0</v>
      </c>
    </row>
  </sheetData>
  <sheetProtection/>
  <mergeCells count="17">
    <mergeCell ref="A1:G1"/>
    <mergeCell ref="A2:A3"/>
    <mergeCell ref="B2:C3"/>
    <mergeCell ref="D2:D3"/>
    <mergeCell ref="E2:G3"/>
    <mergeCell ref="A4:A5"/>
    <mergeCell ref="B4:C5"/>
    <mergeCell ref="D4:D5"/>
    <mergeCell ref="E4:G5"/>
    <mergeCell ref="A6:A7"/>
    <mergeCell ref="B6:C7"/>
    <mergeCell ref="D6:D7"/>
    <mergeCell ref="E6:G7"/>
    <mergeCell ref="A8:A9"/>
    <mergeCell ref="B8:C9"/>
    <mergeCell ref="D8:D9"/>
    <mergeCell ref="E8:G9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7">
      <selection activeCell="I29" sqref="I29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65"/>
      <c r="B1" s="50"/>
      <c r="C1" s="114" t="s">
        <v>156</v>
      </c>
      <c r="D1" s="81"/>
      <c r="E1" s="81"/>
      <c r="F1" s="81"/>
      <c r="G1" s="81"/>
      <c r="H1" s="81"/>
      <c r="I1" s="81"/>
    </row>
    <row r="2" spans="1:10" ht="12.75">
      <c r="A2" s="82" t="s">
        <v>1</v>
      </c>
      <c r="B2" s="83"/>
      <c r="C2" s="84" t="str">
        <f>'Stavební rozpočet - položky'!D2</f>
        <v>Pěší stezka "Kamenický kopec" Zákupy</v>
      </c>
      <c r="D2" s="70"/>
      <c r="E2" s="87" t="s">
        <v>97</v>
      </c>
      <c r="F2" s="87" t="str">
        <f>'Stavební rozpočet - položky'!J2</f>
        <v>Město Zákupy, Borská 5, Zákupy</v>
      </c>
      <c r="G2" s="83"/>
      <c r="H2" s="87" t="s">
        <v>181</v>
      </c>
      <c r="I2" s="115"/>
      <c r="J2" s="32"/>
    </row>
    <row r="3" spans="1:10" ht="12.75">
      <c r="A3" s="79"/>
      <c r="B3" s="72"/>
      <c r="C3" s="85"/>
      <c r="D3" s="85"/>
      <c r="E3" s="72"/>
      <c r="F3" s="72"/>
      <c r="G3" s="72"/>
      <c r="H3" s="72"/>
      <c r="I3" s="77"/>
      <c r="J3" s="32"/>
    </row>
    <row r="4" spans="1:10" ht="12.75">
      <c r="A4" s="73" t="s">
        <v>2</v>
      </c>
      <c r="B4" s="72"/>
      <c r="C4" s="71" t="str">
        <f>'Stavební rozpočet - položky'!D4</f>
        <v>novostavba-pěší turistika</v>
      </c>
      <c r="D4" s="72"/>
      <c r="E4" s="71" t="s">
        <v>98</v>
      </c>
      <c r="F4" s="71" t="str">
        <f>'Stavební rozpočet - položky'!J4</f>
        <v>E. Jašková</v>
      </c>
      <c r="G4" s="72"/>
      <c r="H4" s="71" t="s">
        <v>181</v>
      </c>
      <c r="I4" s="113" t="s">
        <v>185</v>
      </c>
      <c r="J4" s="32"/>
    </row>
    <row r="5" spans="1:10" ht="12.75">
      <c r="A5" s="79"/>
      <c r="B5" s="72"/>
      <c r="C5" s="72"/>
      <c r="D5" s="72"/>
      <c r="E5" s="72"/>
      <c r="F5" s="72"/>
      <c r="G5" s="72"/>
      <c r="H5" s="72"/>
      <c r="I5" s="77"/>
      <c r="J5" s="32"/>
    </row>
    <row r="6" spans="1:10" ht="12.75">
      <c r="A6" s="73" t="s">
        <v>3</v>
      </c>
      <c r="B6" s="72"/>
      <c r="C6" s="71" t="str">
        <f>'Stavební rozpočet - položky'!D6</f>
        <v>Zákupy</v>
      </c>
      <c r="D6" s="72"/>
      <c r="E6" s="71" t="s">
        <v>99</v>
      </c>
      <c r="F6" s="71" t="str">
        <f>'Stavební rozpočet - položky'!J6</f>
        <v> </v>
      </c>
      <c r="G6" s="72"/>
      <c r="H6" s="71" t="s">
        <v>181</v>
      </c>
      <c r="I6" s="113"/>
      <c r="J6" s="32"/>
    </row>
    <row r="7" spans="1:10" ht="12.75">
      <c r="A7" s="79"/>
      <c r="B7" s="72"/>
      <c r="C7" s="72"/>
      <c r="D7" s="72"/>
      <c r="E7" s="72"/>
      <c r="F7" s="72"/>
      <c r="G7" s="72"/>
      <c r="H7" s="72"/>
      <c r="I7" s="77"/>
      <c r="J7" s="32"/>
    </row>
    <row r="8" spans="1:10" ht="12.75">
      <c r="A8" s="73" t="s">
        <v>79</v>
      </c>
      <c r="B8" s="72"/>
      <c r="C8" s="112">
        <v>43556</v>
      </c>
      <c r="D8" s="72"/>
      <c r="E8" s="71" t="s">
        <v>80</v>
      </c>
      <c r="F8" s="112">
        <v>43646</v>
      </c>
      <c r="G8" s="72"/>
      <c r="H8" s="76" t="s">
        <v>182</v>
      </c>
      <c r="I8" s="113" t="s">
        <v>22</v>
      </c>
      <c r="J8" s="32"/>
    </row>
    <row r="9" spans="1:10" ht="12.75">
      <c r="A9" s="79"/>
      <c r="B9" s="72"/>
      <c r="C9" s="72"/>
      <c r="D9" s="72"/>
      <c r="E9" s="72"/>
      <c r="F9" s="72"/>
      <c r="G9" s="72"/>
      <c r="H9" s="72"/>
      <c r="I9" s="77"/>
      <c r="J9" s="32"/>
    </row>
    <row r="10" spans="1:10" ht="12.75">
      <c r="A10" s="73" t="s">
        <v>4</v>
      </c>
      <c r="B10" s="72"/>
      <c r="C10" s="71">
        <f>'Stavební rozpočet - položky'!D8</f>
        <v>8222921</v>
      </c>
      <c r="D10" s="72"/>
      <c r="E10" s="71" t="s">
        <v>100</v>
      </c>
      <c r="F10" s="71" t="str">
        <f>'Stavební rozpočet - položky'!J8</f>
        <v>Jašková Eliška</v>
      </c>
      <c r="G10" s="72"/>
      <c r="H10" s="76" t="s">
        <v>183</v>
      </c>
      <c r="I10" s="110" t="str">
        <f>'Stavební rozpočet - položky'!G8</f>
        <v>28.03.2018</v>
      </c>
      <c r="J10" s="32"/>
    </row>
    <row r="11" spans="1:10" ht="12.75">
      <c r="A11" s="108"/>
      <c r="B11" s="109"/>
      <c r="C11" s="109"/>
      <c r="D11" s="109"/>
      <c r="E11" s="109"/>
      <c r="F11" s="109"/>
      <c r="G11" s="109"/>
      <c r="H11" s="109"/>
      <c r="I11" s="111"/>
      <c r="J11" s="32"/>
    </row>
    <row r="12" spans="1:9" ht="23.25" customHeight="1">
      <c r="A12" s="104" t="s">
        <v>142</v>
      </c>
      <c r="B12" s="105"/>
      <c r="C12" s="105"/>
      <c r="D12" s="105"/>
      <c r="E12" s="105"/>
      <c r="F12" s="105"/>
      <c r="G12" s="105"/>
      <c r="H12" s="105"/>
      <c r="I12" s="105"/>
    </row>
    <row r="13" spans="1:10" ht="26.25" customHeight="1">
      <c r="A13" s="51" t="s">
        <v>143</v>
      </c>
      <c r="B13" s="106" t="s">
        <v>154</v>
      </c>
      <c r="C13" s="107"/>
      <c r="D13" s="51" t="s">
        <v>157</v>
      </c>
      <c r="E13" s="106" t="s">
        <v>166</v>
      </c>
      <c r="F13" s="107"/>
      <c r="G13" s="51" t="s">
        <v>167</v>
      </c>
      <c r="H13" s="106" t="s">
        <v>184</v>
      </c>
      <c r="I13" s="107"/>
      <c r="J13" s="32"/>
    </row>
    <row r="14" spans="1:10" ht="15" customHeight="1">
      <c r="A14" s="52" t="s">
        <v>144</v>
      </c>
      <c r="B14" s="55" t="s">
        <v>155</v>
      </c>
      <c r="C14" s="58">
        <f>SUM('Stavební rozpočet - položky'!R12:R36)</f>
        <v>0</v>
      </c>
      <c r="D14" s="102" t="s">
        <v>158</v>
      </c>
      <c r="E14" s="103"/>
      <c r="F14" s="58">
        <v>0</v>
      </c>
      <c r="G14" s="102" t="s">
        <v>168</v>
      </c>
      <c r="H14" s="103"/>
      <c r="I14" s="58">
        <v>0</v>
      </c>
      <c r="J14" s="32"/>
    </row>
    <row r="15" spans="1:10" ht="15" customHeight="1">
      <c r="A15" s="53"/>
      <c r="B15" s="55" t="s">
        <v>101</v>
      </c>
      <c r="C15" s="58">
        <f>SUM('Stavební rozpočet - položky'!S12:S36)</f>
        <v>0</v>
      </c>
      <c r="D15" s="102" t="s">
        <v>159</v>
      </c>
      <c r="E15" s="103"/>
      <c r="F15" s="58">
        <v>0</v>
      </c>
      <c r="G15" s="102" t="s">
        <v>169</v>
      </c>
      <c r="H15" s="103"/>
      <c r="I15" s="58">
        <v>0</v>
      </c>
      <c r="J15" s="32"/>
    </row>
    <row r="16" spans="1:10" ht="15" customHeight="1">
      <c r="A16" s="52" t="s">
        <v>145</v>
      </c>
      <c r="B16" s="55" t="s">
        <v>155</v>
      </c>
      <c r="C16" s="58">
        <f>SUM('Stavební rozpočet - položky'!T12:T36)</f>
        <v>0</v>
      </c>
      <c r="D16" s="102" t="s">
        <v>160</v>
      </c>
      <c r="E16" s="103"/>
      <c r="F16" s="58">
        <v>0</v>
      </c>
      <c r="G16" s="102" t="s">
        <v>170</v>
      </c>
      <c r="H16" s="103"/>
      <c r="I16" s="58">
        <v>0</v>
      </c>
      <c r="J16" s="32"/>
    </row>
    <row r="17" spans="1:10" ht="15" customHeight="1">
      <c r="A17" s="53"/>
      <c r="B17" s="55" t="s">
        <v>101</v>
      </c>
      <c r="C17" s="58">
        <f>SUM('Stavební rozpočet - položky'!U12:U36)</f>
        <v>0</v>
      </c>
      <c r="D17" s="102"/>
      <c r="E17" s="103"/>
      <c r="F17" s="59"/>
      <c r="G17" s="102" t="s">
        <v>171</v>
      </c>
      <c r="H17" s="103"/>
      <c r="I17" s="58">
        <v>0</v>
      </c>
      <c r="J17" s="32"/>
    </row>
    <row r="18" spans="1:10" ht="15" customHeight="1">
      <c r="A18" s="52" t="s">
        <v>146</v>
      </c>
      <c r="B18" s="55" t="s">
        <v>155</v>
      </c>
      <c r="C18" s="58">
        <f>SUM('Stavební rozpočet - položky'!V12:V36)</f>
        <v>0</v>
      </c>
      <c r="D18" s="102"/>
      <c r="E18" s="103"/>
      <c r="F18" s="59"/>
      <c r="G18" s="102" t="s">
        <v>172</v>
      </c>
      <c r="H18" s="103"/>
      <c r="I18" s="58">
        <v>0</v>
      </c>
      <c r="J18" s="32"/>
    </row>
    <row r="19" spans="1:10" ht="15" customHeight="1">
      <c r="A19" s="53"/>
      <c r="B19" s="55" t="s">
        <v>101</v>
      </c>
      <c r="C19" s="58">
        <f>SUM('Stavební rozpočet - položky'!W12:W36)</f>
        <v>0</v>
      </c>
      <c r="D19" s="102"/>
      <c r="E19" s="103"/>
      <c r="F19" s="59"/>
      <c r="G19" s="102" t="s">
        <v>173</v>
      </c>
      <c r="H19" s="103"/>
      <c r="I19" s="58">
        <v>0</v>
      </c>
      <c r="J19" s="32"/>
    </row>
    <row r="20" spans="1:10" ht="15" customHeight="1">
      <c r="A20" s="100" t="s">
        <v>75</v>
      </c>
      <c r="B20" s="101"/>
      <c r="C20" s="58">
        <f>SUM('Stavební rozpočet - položky'!X12:X36)</f>
        <v>0</v>
      </c>
      <c r="D20" s="102"/>
      <c r="E20" s="103"/>
      <c r="F20" s="59"/>
      <c r="G20" s="102"/>
      <c r="H20" s="103"/>
      <c r="I20" s="59"/>
      <c r="J20" s="32"/>
    </row>
    <row r="21" spans="1:10" ht="15" customHeight="1">
      <c r="A21" s="100" t="s">
        <v>147</v>
      </c>
      <c r="B21" s="101"/>
      <c r="C21" s="58">
        <f>SUM('Stavební rozpočet - položky'!P12:P36)</f>
        <v>0</v>
      </c>
      <c r="D21" s="102"/>
      <c r="E21" s="103"/>
      <c r="F21" s="59"/>
      <c r="G21" s="102"/>
      <c r="H21" s="103"/>
      <c r="I21" s="59"/>
      <c r="J21" s="32"/>
    </row>
    <row r="22" spans="1:10" ht="16.5" customHeight="1">
      <c r="A22" s="100" t="s">
        <v>148</v>
      </c>
      <c r="B22" s="101"/>
      <c r="C22" s="58">
        <f>SUM(C14:C21)</f>
        <v>0</v>
      </c>
      <c r="D22" s="100" t="s">
        <v>161</v>
      </c>
      <c r="E22" s="101"/>
      <c r="F22" s="58">
        <f>SUM(F14:F21)</f>
        <v>0</v>
      </c>
      <c r="G22" s="100" t="s">
        <v>174</v>
      </c>
      <c r="H22" s="101"/>
      <c r="I22" s="58">
        <f>SUM(I14:I21)</f>
        <v>0</v>
      </c>
      <c r="J22" s="32"/>
    </row>
    <row r="23" spans="1:10" ht="15" customHeight="1">
      <c r="A23" s="8"/>
      <c r="B23" s="8"/>
      <c r="C23" s="56"/>
      <c r="D23" s="100" t="s">
        <v>162</v>
      </c>
      <c r="E23" s="101"/>
      <c r="F23" s="60">
        <v>0</v>
      </c>
      <c r="G23" s="100" t="s">
        <v>175</v>
      </c>
      <c r="H23" s="101"/>
      <c r="I23" s="58">
        <v>0</v>
      </c>
      <c r="J23" s="32"/>
    </row>
    <row r="24" spans="4:9" ht="15" customHeight="1">
      <c r="D24" s="8"/>
      <c r="E24" s="8"/>
      <c r="F24" s="61"/>
      <c r="G24" s="100" t="s">
        <v>176</v>
      </c>
      <c r="H24" s="101"/>
      <c r="I24" s="63"/>
    </row>
    <row r="25" spans="6:10" ht="15" customHeight="1">
      <c r="F25" s="62"/>
      <c r="G25" s="100" t="s">
        <v>177</v>
      </c>
      <c r="H25" s="101"/>
      <c r="I25" s="58">
        <v>0</v>
      </c>
      <c r="J25" s="32"/>
    </row>
    <row r="26" spans="1:9" ht="12.75">
      <c r="A26" s="50"/>
      <c r="B26" s="50"/>
      <c r="C26" s="50"/>
      <c r="G26" s="8"/>
      <c r="H26" s="8"/>
      <c r="I26" s="8"/>
    </row>
    <row r="27" spans="1:9" ht="15" customHeight="1">
      <c r="A27" s="95" t="s">
        <v>149</v>
      </c>
      <c r="B27" s="96"/>
      <c r="C27" s="64">
        <v>0</v>
      </c>
      <c r="D27" s="57"/>
      <c r="E27" s="50"/>
      <c r="F27" s="50"/>
      <c r="G27" s="50"/>
      <c r="H27" s="50"/>
      <c r="I27" s="50"/>
    </row>
    <row r="28" spans="1:10" ht="15" customHeight="1">
      <c r="A28" s="95" t="s">
        <v>150</v>
      </c>
      <c r="B28" s="96"/>
      <c r="C28" s="64">
        <f>SUM('Stavební rozpočet - položky'!AA12:AA36)</f>
        <v>0</v>
      </c>
      <c r="D28" s="95" t="s">
        <v>163</v>
      </c>
      <c r="E28" s="96"/>
      <c r="F28" s="64">
        <f>ROUND(C28*(15/100),2)</f>
        <v>0</v>
      </c>
      <c r="G28" s="95" t="s">
        <v>178</v>
      </c>
      <c r="H28" s="96"/>
      <c r="I28" s="64">
        <f>SUM(C27:C29)</f>
        <v>0</v>
      </c>
      <c r="J28" s="32"/>
    </row>
    <row r="29" spans="1:10" ht="15" customHeight="1">
      <c r="A29" s="95" t="s">
        <v>151</v>
      </c>
      <c r="B29" s="96"/>
      <c r="C29" s="64">
        <f>SUM('Stavební rozpočet - položky'!Z12:Z36)+(F22+I22+F23+I23+I24+I25)</f>
        <v>0</v>
      </c>
      <c r="D29" s="95" t="s">
        <v>164</v>
      </c>
      <c r="E29" s="96"/>
      <c r="F29" s="64">
        <f>ROUND(C29*(21/100),2)</f>
        <v>0</v>
      </c>
      <c r="G29" s="95" t="s">
        <v>179</v>
      </c>
      <c r="H29" s="96"/>
      <c r="I29" s="64">
        <f>SUM(F28:F29)+I28</f>
        <v>0</v>
      </c>
      <c r="J29" s="32"/>
    </row>
    <row r="30" spans="1:9" ht="12.75">
      <c r="A30" s="54"/>
      <c r="B30" s="54"/>
      <c r="C30" s="54"/>
      <c r="D30" s="54"/>
      <c r="E30" s="54"/>
      <c r="F30" s="54"/>
      <c r="G30" s="54"/>
      <c r="H30" s="54"/>
      <c r="I30" s="54"/>
    </row>
    <row r="31" spans="1:10" ht="14.25" customHeight="1">
      <c r="A31" s="97" t="s">
        <v>152</v>
      </c>
      <c r="B31" s="98"/>
      <c r="C31" s="99"/>
      <c r="D31" s="97" t="s">
        <v>165</v>
      </c>
      <c r="E31" s="98"/>
      <c r="F31" s="99"/>
      <c r="G31" s="97" t="s">
        <v>180</v>
      </c>
      <c r="H31" s="98"/>
      <c r="I31" s="99"/>
      <c r="J31" s="33"/>
    </row>
    <row r="32" spans="1:10" ht="14.25" customHeight="1">
      <c r="A32" s="89"/>
      <c r="B32" s="90"/>
      <c r="C32" s="91"/>
      <c r="D32" s="89"/>
      <c r="E32" s="90"/>
      <c r="F32" s="91"/>
      <c r="G32" s="89"/>
      <c r="H32" s="90"/>
      <c r="I32" s="91"/>
      <c r="J32" s="33"/>
    </row>
    <row r="33" spans="1:10" ht="14.25" customHeight="1">
      <c r="A33" s="89"/>
      <c r="B33" s="90"/>
      <c r="C33" s="91"/>
      <c r="D33" s="89"/>
      <c r="E33" s="90"/>
      <c r="F33" s="91"/>
      <c r="G33" s="89"/>
      <c r="H33" s="90"/>
      <c r="I33" s="91"/>
      <c r="J33" s="33"/>
    </row>
    <row r="34" spans="1:10" ht="14.25" customHeight="1">
      <c r="A34" s="89"/>
      <c r="B34" s="90"/>
      <c r="C34" s="91"/>
      <c r="D34" s="89"/>
      <c r="E34" s="90"/>
      <c r="F34" s="91"/>
      <c r="G34" s="89"/>
      <c r="H34" s="90"/>
      <c r="I34" s="91"/>
      <c r="J34" s="33"/>
    </row>
    <row r="35" spans="1:10" ht="14.25" customHeight="1">
      <c r="A35" s="92" t="s">
        <v>153</v>
      </c>
      <c r="B35" s="93"/>
      <c r="C35" s="94"/>
      <c r="D35" s="92" t="s">
        <v>153</v>
      </c>
      <c r="E35" s="93"/>
      <c r="F35" s="94"/>
      <c r="G35" s="92" t="s">
        <v>153</v>
      </c>
      <c r="H35" s="93"/>
      <c r="I35" s="94"/>
      <c r="J35" s="33"/>
    </row>
    <row r="36" spans="1:9" ht="11.25" customHeight="1">
      <c r="A36" s="49" t="s">
        <v>23</v>
      </c>
      <c r="B36" s="48"/>
      <c r="C36" s="48"/>
      <c r="D36" s="48"/>
      <c r="E36" s="48"/>
      <c r="F36" s="48"/>
      <c r="G36" s="48"/>
      <c r="H36" s="48"/>
      <c r="I36" s="48"/>
    </row>
    <row r="37" spans="1:9" ht="12.75">
      <c r="A37" s="71"/>
      <c r="B37" s="72"/>
      <c r="C37" s="72"/>
      <c r="D37" s="72"/>
      <c r="E37" s="72"/>
      <c r="F37" s="72"/>
      <c r="G37" s="72"/>
      <c r="H37" s="72"/>
      <c r="I37" s="72"/>
    </row>
  </sheetData>
  <sheetProtection/>
  <mergeCells count="8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/>
  <pageMargins left="0.394" right="0.394" top="0.591" bottom="0.591" header="0.5" footer="0.5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Janků Lukáš</cp:lastModifiedBy>
  <dcterms:modified xsi:type="dcterms:W3CDTF">2018-06-15T11:09:12Z</dcterms:modified>
  <cp:category/>
  <cp:version/>
  <cp:contentType/>
  <cp:contentStatus/>
</cp:coreProperties>
</file>