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Úsek A - Rekonstrukce arb..." sheetId="2" r:id="rId2"/>
  </sheets>
  <definedNames>
    <definedName name="_xlnm.Print_Titles" localSheetId="0">'Rekapitulace stavby'!$85:$85</definedName>
    <definedName name="_xlnm.Print_Titles" localSheetId="1">'Úsek A - Rekonstrukce arb...'!$125:$125</definedName>
    <definedName name="_xlnm.Print_Area" localSheetId="0">'Rekapitulace stavby'!$C$4:$AP$70,'Rekapitulace stavby'!$C$76:$AP$105</definedName>
    <definedName name="_xlnm.Print_Area" localSheetId="1">'Úsek A - Rekonstrukce arb...'!$C$4:$Q$70,'Úsek A - Rekonstrukce arb...'!$C$76:$Q$109,'Úsek A - Rekonstrukce arb...'!$C$115:$Q$176</definedName>
  </definedNames>
  <calcPr fullCalcOnLoad="1"/>
</workbook>
</file>

<file path=xl/sharedStrings.xml><?xml version="1.0" encoding="utf-8"?>
<sst xmlns="http://schemas.openxmlformats.org/spreadsheetml/2006/main" count="747" uniqueCount="233">
  <si>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</si>
  <si>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</si>
  <si>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</si>
  <si>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</si>
  <si>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</si>
  <si>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</si>
  <si>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</si>
  <si>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</si>
  <si>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</si>
  <si>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</si>
  <si>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</si>
  <si>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</si>
  <si>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</si>
  <si>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</si>
  <si>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</si>
  <si>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 xml:space="preserve">1217 - Rekonstrukce arboreta - Povalové chodníky </t>
  </si>
  <si>
    <t>0,1</t>
  </si>
  <si>
    <t>1</t>
  </si>
  <si>
    <t>Místo:</t>
  </si>
  <si>
    <t xml:space="preserve"> </t>
  </si>
  <si>
    <t>Datum:</t>
  </si>
  <si>
    <t>29.05.2013</t>
  </si>
  <si>
    <t>10</t>
  </si>
  <si>
    <t>100</t>
  </si>
  <si>
    <t>Objednavatel:</t>
  </si>
  <si>
    <t>IČ:</t>
  </si>
  <si>
    <t>Město Zákupy</t>
  </si>
  <si>
    <t>DIČ:</t>
  </si>
  <si>
    <t>Zhotovitel:</t>
  </si>
  <si>
    <t>Vyplň údaj</t>
  </si>
  <si>
    <t>Projektant:</t>
  </si>
  <si>
    <t>True</t>
  </si>
  <si>
    <t>Zpracovatel:</t>
  </si>
  <si>
    <t>Ing. Hybášek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</si>
  <si>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</si>
  <si>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</si>
  <si>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</si>
  <si>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</si>
  <si>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</si>
  <si>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</si>
  <si>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</si>
  <si>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</si>
  <si>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</si>
  <si>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</si>
  <si>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</si>
  <si>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</si>
  <si>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</si>
  <si>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</si>
  <si>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</si>
  <si>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</si>
  <si>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</si>
  <si>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</si>
  <si>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</si>
  <si>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</si>
  <si>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</si>
  <si>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</si>
  <si>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</si>
  <si>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</si>
  <si>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</si>
  <si>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</si>
  <si>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</si>
  <si>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</si>
  <si>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</si>
  <si>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</si>
  <si>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</si>
  <si>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</si>
  <si>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</si>
  <si>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</si>
  <si>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</si>
  <si>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</si>
  <si>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</si>
  <si>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</si>
  <si>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</si>
  <si>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</si>
  <si>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</si>
  <si>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</si>
  <si>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{84E21208-F383-403B-A5E2-79BE563108EB}</t>
  </si>
  <si>
    <t>{00000000-0000-0000-0000-000000000000}</t>
  </si>
  <si>
    <t>Úsek A</t>
  </si>
  <si>
    <t xml:space="preserve">Rekonstrukce arboreta - Povalové chodníky </t>
  </si>
  <si>
    <t>{D2C26CA6-83BF-494B-909E-BC3FE757D6BE}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</si>
  <si>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</si>
  <si>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</si>
  <si>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</si>
  <si>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</si>
  <si>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</si>
  <si>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</si>
  <si>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</si>
  <si>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</si>
  <si>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</si>
  <si>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</si>
  <si>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</si>
  <si>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</si>
  <si>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</si>
  <si>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</si>
  <si>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</si>
  <si>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</si>
  <si>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</si>
  <si>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</si>
  <si>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</si>
  <si>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</si>
  <si>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</si>
  <si>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</si>
  <si>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 xml:space="preserve">Úsek A - Rekonstrukce arboreta - Povalové chodníky 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</si>
  <si>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</si>
  <si>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</si>
  <si>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</si>
  <si>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</si>
  <si>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</si>
  <si>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</si>
  <si>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</si>
  <si>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</si>
  <si>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</si>
  <si>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</si>
  <si>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</si>
  <si>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  99 - Přesun hmot</t>
  </si>
  <si>
    <t>PSV - Práce a dodávky PSV</t>
  </si>
  <si>
    <t xml:space="preserve">    714 - Akustická a protiotřesová opatření</t>
  </si>
  <si>
    <t xml:space="preserve">    762 - Konstrukce tesařské</t>
  </si>
  <si>
    <t xml:space="preserve">    766 - Konstrukce truhlářské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</si>
  <si>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</si>
  <si>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</si>
  <si>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</si>
  <si>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</si>
  <si>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</si>
  <si>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</si>
  <si>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</si>
  <si>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</si>
  <si>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</si>
  <si>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</si>
  <si>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</si>
  <si>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</si>
  <si>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</si>
  <si>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</si>
  <si>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</si>
  <si>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</si>
  <si>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</si>
  <si>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</si>
  <si>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</si>
  <si>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</si>
  <si>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</si>
  <si>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</si>
  <si>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</si>
  <si>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</si>
  <si>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</si>
  <si>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</si>
  <si>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</si>
  <si>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125203111</t>
  </si>
  <si>
    <t>Vykopávky melioračních kanálů pro meliorace lesnicko-technické v hornině tř. 3</t>
  </si>
  <si>
    <t>m3</t>
  </si>
  <si>
    <t>4</t>
  </si>
  <si>
    <t>(31*0,09)+(95,8*1,95)</t>
  </si>
  <si>
    <t>VV</t>
  </si>
  <si>
    <t>162201102</t>
  </si>
  <si>
    <t>Vodorovné přemístění do 50 m výkopku/sypaniny z horniny tř. 1 až 4</t>
  </si>
  <si>
    <t>3</t>
  </si>
  <si>
    <t>171101102</t>
  </si>
  <si>
    <t>Uložení sypaniny z hornin soudržných do násypů zhutněných na 96 % PS</t>
  </si>
  <si>
    <t>181411123</t>
  </si>
  <si>
    <t>Založení lučního trávníku výsevem plochy do 1000 m2 ve svahu do 1:1</t>
  </si>
  <si>
    <t>m2</t>
  </si>
  <si>
    <t>293,4+(126,8*3,5)</t>
  </si>
  <si>
    <t>5</t>
  </si>
  <si>
    <t>M</t>
  </si>
  <si>
    <t>005724740</t>
  </si>
  <si>
    <t>osivo směs travní krajinná - svahová</t>
  </si>
  <si>
    <t>kg</t>
  </si>
  <si>
    <t>8</t>
  </si>
  <si>
    <t>737,2*0,02</t>
  </si>
  <si>
    <t>6</t>
  </si>
  <si>
    <t>181951101</t>
  </si>
  <si>
    <t>Úprava pláně v hornině tř. 1 až 4 bez zhutnění</t>
  </si>
  <si>
    <t>126,8*1</t>
  </si>
  <si>
    <t>7</t>
  </si>
  <si>
    <t>182101101</t>
  </si>
  <si>
    <t>Svahování v zářezech v hornině tř. 1 až 4</t>
  </si>
  <si>
    <t>126,8*4</t>
  </si>
  <si>
    <t>182201101</t>
  </si>
  <si>
    <t>Svahování násypů</t>
  </si>
  <si>
    <t>měřeno Dio</t>
  </si>
  <si>
    <t>293,4</t>
  </si>
  <si>
    <t>9</t>
  </si>
  <si>
    <t>182301126</t>
  </si>
  <si>
    <t>Rozprostření ornice pl do 500 m2 ve svahu přes 1:5 tl vrstvy do 400 mm</t>
  </si>
  <si>
    <t>461211711</t>
  </si>
  <si>
    <t>Patka z lomového kamene pro dlažbu na sucho bez výplně spár</t>
  </si>
  <si>
    <t>0,42*60</t>
  </si>
  <si>
    <t>11</t>
  </si>
  <si>
    <t>564761111</t>
  </si>
  <si>
    <t>Podklad z kameniva hrubého drceného vel. 32-63 mm tl 200 mm</t>
  </si>
  <si>
    <t>32*3</t>
  </si>
  <si>
    <t>919311112</t>
  </si>
  <si>
    <t>Čela propustků z prostého betonu tř. C8/10</t>
  </si>
  <si>
    <t>3*0,5*1,0</t>
  </si>
  <si>
    <t>12</t>
  </si>
  <si>
    <t>919521013</t>
  </si>
  <si>
    <t>Zřízení propustků z trub betonových DN 400</t>
  </si>
  <si>
    <t>m</t>
  </si>
  <si>
    <t>13</t>
  </si>
  <si>
    <t>592225320</t>
  </si>
  <si>
    <t>trouba železobetonová hrdlová přímá s integrovaným spojem TZH-Q 40/250 40X250 cm</t>
  </si>
  <si>
    <t>kus</t>
  </si>
  <si>
    <t>14</t>
  </si>
  <si>
    <t>9361241R1</t>
  </si>
  <si>
    <t>Montáž lavičky stabilní parkové přichycené šrouby bez zabetonování noh vč.dodávky</t>
  </si>
  <si>
    <t>998225191</t>
  </si>
  <si>
    <t>Příplatek k přesunu hmot pro pozemní komunikace s krytem z kamene, živičným, betonovým do 1000 m</t>
  </si>
  <si>
    <t>t</t>
  </si>
  <si>
    <t>17</t>
  </si>
  <si>
    <t>7141951R2</t>
  </si>
  <si>
    <t>Polštáře z tvrdého dřeva (modřín)</t>
  </si>
  <si>
    <t>16</t>
  </si>
  <si>
    <t>0,1*0,14*192</t>
  </si>
  <si>
    <t>762524911</t>
  </si>
  <si>
    <t>Položení a nastavení polštářů tloušťky do 100 mm</t>
  </si>
  <si>
    <t>(89*2)+(2*4)+(2*3)</t>
  </si>
  <si>
    <t>20</t>
  </si>
  <si>
    <t>7625239R3</t>
  </si>
  <si>
    <t>Položení podlah hoblovaných na sraz tl. 40mm</t>
  </si>
  <si>
    <t>(89*1,4)+(4*3)</t>
  </si>
  <si>
    <t>19</t>
  </si>
  <si>
    <t>7662111R4</t>
  </si>
  <si>
    <t>Montáž madel vč.dodávky</t>
  </si>
  <si>
    <t>4*4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</si>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</sst>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49" fontId="9" fillId="3" borderId="0" xfId="0" applyFont="1" applyFill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4" xfId="0" applyBorder="1" applyAlignment="1">
      <alignment horizontal="left" vertical="center"/>
    </xf>
    <xf numFmtId="0" fontId="13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Alignment="1">
      <alignment horizontal="center" vertical="center"/>
    </xf>
    <xf numFmtId="0" fontId="13" fillId="0" borderId="5" xfId="0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5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9" fillId="0" borderId="0" xfId="0" applyFont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13" xfId="0" applyFont="1" applyBorder="1" applyAlignment="1">
      <alignment horizontal="right" vertical="center"/>
    </xf>
    <xf numFmtId="164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164" fontId="17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164" fontId="23" fillId="0" borderId="15" xfId="0" applyFont="1" applyBorder="1" applyAlignment="1">
      <alignment horizontal="right" vertical="center"/>
    </xf>
    <xf numFmtId="164" fontId="23" fillId="0" borderId="16" xfId="0" applyFont="1" applyBorder="1" applyAlignment="1">
      <alignment horizontal="right" vertical="center"/>
    </xf>
    <xf numFmtId="167" fontId="23" fillId="0" borderId="16" xfId="0" applyFont="1" applyBorder="1" applyAlignment="1">
      <alignment horizontal="right" vertical="center"/>
    </xf>
    <xf numFmtId="164" fontId="23" fillId="0" borderId="17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64" fontId="15" fillId="0" borderId="12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15" fillId="3" borderId="1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15" fillId="0" borderId="14" xfId="0" applyFont="1" applyBorder="1" applyAlignment="1">
      <alignment horizontal="right" vertical="center"/>
    </xf>
    <xf numFmtId="165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4" fontId="15" fillId="0" borderId="17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4" borderId="9" xfId="0" applyFont="1" applyFill="1" applyBorder="1" applyAlignment="1">
      <alignment horizontal="righ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7" fontId="27" fillId="0" borderId="11" xfId="0" applyFont="1" applyBorder="1" applyAlignment="1">
      <alignment horizontal="right"/>
    </xf>
    <xf numFmtId="167" fontId="27" fillId="0" borderId="12" xfId="0" applyFont="1" applyBorder="1" applyAlignment="1">
      <alignment horizontal="right"/>
    </xf>
    <xf numFmtId="164" fontId="28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4" xfId="0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5" xfId="0" applyBorder="1" applyAlignment="1">
      <alignment horizontal="left"/>
    </xf>
    <xf numFmtId="0" fontId="26" fillId="0" borderId="13" xfId="0" applyBorder="1" applyAlignment="1">
      <alignment horizontal="left"/>
    </xf>
    <xf numFmtId="167" fontId="26" fillId="0" borderId="0" xfId="0" applyFont="1" applyAlignment="1">
      <alignment horizontal="right"/>
    </xf>
    <xf numFmtId="167" fontId="26" fillId="0" borderId="14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49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168" fontId="0" fillId="0" borderId="24" xfId="0" applyFont="1" applyBorder="1" applyAlignment="1">
      <alignment horizontal="right" vertical="center"/>
    </xf>
    <xf numFmtId="0" fontId="13" fillId="3" borderId="2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7" fontId="13" fillId="0" borderId="0" xfId="0" applyFont="1" applyAlignment="1">
      <alignment horizontal="right" vertical="center"/>
    </xf>
    <xf numFmtId="167" fontId="13" fillId="0" borderId="14" xfId="0" applyFont="1" applyBorder="1" applyAlignment="1">
      <alignment horizontal="right" vertical="center"/>
    </xf>
    <xf numFmtId="0" fontId="29" fillId="0" borderId="4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Font="1" applyAlignment="1">
      <alignment horizontal="right" vertical="center"/>
    </xf>
    <xf numFmtId="0" fontId="29" fillId="0" borderId="5" xfId="0" applyBorder="1" applyAlignment="1">
      <alignment horizontal="left" vertical="center"/>
    </xf>
    <xf numFmtId="0" fontId="29" fillId="0" borderId="13" xfId="0" applyBorder="1" applyAlignment="1">
      <alignment horizontal="left" vertical="center"/>
    </xf>
    <xf numFmtId="0" fontId="29" fillId="0" borderId="14" xfId="0" applyBorder="1" applyAlignment="1">
      <alignment horizontal="left" vertical="center"/>
    </xf>
    <xf numFmtId="0" fontId="29" fillId="0" borderId="0" xfId="0" applyAlignment="1">
      <alignment horizontal="left" vertical="center"/>
    </xf>
    <xf numFmtId="0" fontId="30" fillId="0" borderId="24" xfId="0" applyFont="1" applyBorder="1" applyAlignment="1">
      <alignment horizontal="center" vertical="center"/>
    </xf>
    <xf numFmtId="49" fontId="30" fillId="0" borderId="24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center" vertical="center" wrapText="1"/>
    </xf>
    <xf numFmtId="168" fontId="30" fillId="0" borderId="24" xfId="0" applyFont="1" applyBorder="1" applyAlignment="1">
      <alignment horizontal="right" vertical="center"/>
    </xf>
    <xf numFmtId="0" fontId="31" fillId="0" borderId="4" xfId="0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5" xfId="0" applyBorder="1" applyAlignment="1">
      <alignment horizontal="left" vertical="center"/>
    </xf>
    <xf numFmtId="0" fontId="31" fillId="0" borderId="13" xfId="0" applyBorder="1" applyAlignment="1">
      <alignment horizontal="left" vertical="center"/>
    </xf>
    <xf numFmtId="0" fontId="31" fillId="0" borderId="14" xfId="0" applyBorder="1" applyAlignment="1">
      <alignment horizontal="left" vertical="center"/>
    </xf>
    <xf numFmtId="0" fontId="31" fillId="0" borderId="0" xfId="0" applyAlignment="1">
      <alignment horizontal="left" vertical="center"/>
    </xf>
    <xf numFmtId="0" fontId="0" fillId="3" borderId="24" xfId="0" applyFont="1" applyFill="1" applyBorder="1" applyAlignment="1">
      <alignment horizontal="center" vertical="center"/>
    </xf>
    <xf numFmtId="49" fontId="0" fillId="3" borderId="24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center" vertical="center" wrapText="1"/>
    </xf>
    <xf numFmtId="168" fontId="0" fillId="3" borderId="24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" borderId="0" xfId="0" applyFont="1" applyFill="1" applyAlignment="1">
      <alignment horizontal="left" vertical="top"/>
    </xf>
    <xf numFmtId="164" fontId="11" fillId="0" borderId="0" xfId="0" applyFont="1" applyAlignment="1">
      <alignment horizontal="right" vertical="center"/>
    </xf>
    <xf numFmtId="164" fontId="1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65" fontId="13" fillId="0" borderId="0" xfId="0" applyAlignment="1">
      <alignment horizontal="right" vertical="center"/>
    </xf>
    <xf numFmtId="164" fontId="6" fillId="0" borderId="0" xfId="0" applyFont="1" applyAlignment="1">
      <alignment horizontal="right" vertical="center"/>
    </xf>
    <xf numFmtId="0" fontId="7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164" fontId="7" fillId="4" borderId="9" xfId="0" applyFont="1" applyFill="1" applyBorder="1" applyAlignment="1">
      <alignment horizontal="right" vertical="center"/>
    </xf>
    <xf numFmtId="0" fontId="0" fillId="4" borderId="27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164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" borderId="0" xfId="0" applyFont="1" applyFill="1" applyAlignment="1">
      <alignment horizontal="right" vertical="center"/>
    </xf>
    <xf numFmtId="164" fontId="24" fillId="0" borderId="0" xfId="0" applyFont="1" applyAlignment="1">
      <alignment horizontal="right" vertical="center"/>
    </xf>
    <xf numFmtId="0" fontId="24" fillId="3" borderId="0" xfId="0" applyFont="1" applyFill="1" applyAlignment="1">
      <alignment horizontal="left" vertical="center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4" borderId="0" xfId="0" applyFont="1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9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center"/>
    </xf>
    <xf numFmtId="164" fontId="12" fillId="0" borderId="0" xfId="0" applyFont="1" applyAlignment="1">
      <alignment horizontal="right" vertical="center"/>
    </xf>
    <xf numFmtId="164" fontId="13" fillId="0" borderId="0" xfId="0" applyFont="1" applyAlignment="1">
      <alignment horizontal="right" vertical="center"/>
    </xf>
    <xf numFmtId="166" fontId="9" fillId="0" borderId="0" xfId="0" applyFont="1" applyAlignment="1">
      <alignment horizontal="left" vertical="top"/>
    </xf>
    <xf numFmtId="0" fontId="9" fillId="4" borderId="0" xfId="0" applyFont="1" applyFill="1" applyAlignment="1">
      <alignment horizontal="center" vertical="center"/>
    </xf>
    <xf numFmtId="164" fontId="25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Font="1" applyAlignment="1">
      <alignment horizontal="right"/>
    </xf>
    <xf numFmtId="0" fontId="9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164" fontId="0" fillId="3" borderId="24" xfId="0" applyFont="1" applyFill="1" applyBorder="1" applyAlignment="1">
      <alignment horizontal="right" vertical="center"/>
    </xf>
    <xf numFmtId="164" fontId="0" fillId="0" borderId="24" xfId="0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24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/>
    </xf>
    <xf numFmtId="164" fontId="30" fillId="3" borderId="24" xfId="0" applyFont="1" applyFill="1" applyBorder="1" applyAlignment="1">
      <alignment horizontal="right" vertical="center"/>
    </xf>
    <xf numFmtId="164" fontId="30" fillId="0" borderId="24" xfId="0" applyFont="1" applyBorder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0" fillId="3" borderId="24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/>
    </xf>
    <xf numFmtId="164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164" fontId="24" fillId="0" borderId="0" xfId="0" applyFont="1" applyAlignment="1">
      <alignment horizontal="right"/>
    </xf>
    <xf numFmtId="0" fontId="33" fillId="0" borderId="0" xfId="17" applyFont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4" fillId="2" borderId="0" xfId="17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top"/>
      <protection/>
    </xf>
    <xf numFmtId="0" fontId="34" fillId="2" borderId="0" xfId="17" applyFont="1" applyFill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D45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2CD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16" t="s">
        <v>0</v>
      </c>
      <c r="B1" s="217"/>
      <c r="C1" s="217"/>
      <c r="D1" s="218" t="s">
        <v>1</v>
      </c>
      <c r="E1" s="217"/>
      <c r="F1" s="217"/>
      <c r="G1" s="217"/>
      <c r="H1" s="217"/>
      <c r="I1" s="217"/>
      <c r="J1" s="217"/>
      <c r="K1" s="219" t="s">
        <v>226</v>
      </c>
      <c r="L1" s="219"/>
      <c r="M1" s="219"/>
      <c r="N1" s="219"/>
      <c r="O1" s="219"/>
      <c r="P1" s="219"/>
      <c r="Q1" s="219"/>
      <c r="R1" s="219"/>
      <c r="S1" s="219"/>
      <c r="T1" s="217"/>
      <c r="U1" s="217"/>
      <c r="V1" s="217"/>
      <c r="W1" s="219" t="s">
        <v>227</v>
      </c>
      <c r="X1" s="219"/>
      <c r="Y1" s="219"/>
      <c r="Z1" s="219"/>
      <c r="AA1" s="219"/>
      <c r="AB1" s="219"/>
      <c r="AC1" s="219"/>
      <c r="AD1" s="219"/>
      <c r="AE1" s="219"/>
      <c r="AF1" s="219"/>
      <c r="AG1" s="217"/>
      <c r="AH1" s="21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0" t="s">
        <v>4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R2" s="184" t="s">
        <v>5</v>
      </c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2" t="s">
        <v>9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1"/>
      <c r="AS4" s="12" t="s">
        <v>10</v>
      </c>
      <c r="BE4" s="13" t="s">
        <v>11</v>
      </c>
      <c r="BS4" s="6" t="s">
        <v>12</v>
      </c>
    </row>
    <row r="5" spans="2:71" s="2" customFormat="1" ht="7.5" customHeight="1">
      <c r="B5" s="10"/>
      <c r="AQ5" s="11"/>
      <c r="BE5" s="153" t="s">
        <v>13</v>
      </c>
      <c r="BS5" s="6" t="s">
        <v>6</v>
      </c>
    </row>
    <row r="6" spans="2:71" s="2" customFormat="1" ht="26.25" customHeight="1">
      <c r="B6" s="10"/>
      <c r="D6" s="14" t="s">
        <v>14</v>
      </c>
      <c r="K6" s="156" t="s">
        <v>15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Q6" s="11"/>
      <c r="BE6" s="151"/>
      <c r="BS6" s="6" t="s">
        <v>16</v>
      </c>
    </row>
    <row r="7" spans="2:71" s="2" customFormat="1" ht="7.5" customHeight="1">
      <c r="B7" s="10"/>
      <c r="AQ7" s="11"/>
      <c r="BE7" s="151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17" t="s">
        <v>21</v>
      </c>
      <c r="AQ8" s="11"/>
      <c r="BE8" s="151"/>
      <c r="BS8" s="6" t="s">
        <v>22</v>
      </c>
    </row>
    <row r="9" spans="2:71" s="2" customFormat="1" ht="15" customHeight="1">
      <c r="B9" s="10"/>
      <c r="AQ9" s="11"/>
      <c r="BE9" s="151"/>
      <c r="BS9" s="6" t="s">
        <v>23</v>
      </c>
    </row>
    <row r="10" spans="2:71" s="2" customFormat="1" ht="15" customHeight="1">
      <c r="B10" s="10"/>
      <c r="D10" s="15" t="s">
        <v>24</v>
      </c>
      <c r="AK10" s="15" t="s">
        <v>25</v>
      </c>
      <c r="AN10" s="16"/>
      <c r="AQ10" s="11"/>
      <c r="BE10" s="151"/>
      <c r="BS10" s="6" t="s">
        <v>16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151"/>
      <c r="BS11" s="6" t="s">
        <v>16</v>
      </c>
    </row>
    <row r="12" spans="2:71" s="2" customFormat="1" ht="7.5" customHeight="1">
      <c r="B12" s="10"/>
      <c r="AQ12" s="11"/>
      <c r="BE12" s="151"/>
      <c r="BS12" s="6" t="s">
        <v>16</v>
      </c>
    </row>
    <row r="13" spans="2:71" s="2" customFormat="1" ht="15" customHeight="1">
      <c r="B13" s="10"/>
      <c r="D13" s="15" t="s">
        <v>28</v>
      </c>
      <c r="AK13" s="15" t="s">
        <v>25</v>
      </c>
      <c r="AN13" s="18" t="s">
        <v>29</v>
      </c>
      <c r="AQ13" s="11"/>
      <c r="BE13" s="151"/>
      <c r="BS13" s="6" t="s">
        <v>16</v>
      </c>
    </row>
    <row r="14" spans="2:71" s="2" customFormat="1" ht="15.75" customHeight="1">
      <c r="B14" s="10"/>
      <c r="E14" s="157" t="s">
        <v>29</v>
      </c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" t="s">
        <v>27</v>
      </c>
      <c r="AN14" s="18" t="s">
        <v>29</v>
      </c>
      <c r="AQ14" s="11"/>
      <c r="BE14" s="151"/>
      <c r="BS14" s="6" t="s">
        <v>16</v>
      </c>
    </row>
    <row r="15" spans="2:71" s="2" customFormat="1" ht="7.5" customHeight="1">
      <c r="B15" s="10"/>
      <c r="AQ15" s="11"/>
      <c r="BE15" s="151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25</v>
      </c>
      <c r="AN16" s="16"/>
      <c r="AQ16" s="11"/>
      <c r="BE16" s="151"/>
      <c r="BS16" s="6" t="s">
        <v>3</v>
      </c>
    </row>
    <row r="17" spans="2:71" s="2" customFormat="1" ht="19.5" customHeight="1">
      <c r="B17" s="10"/>
      <c r="E17" s="16" t="s">
        <v>19</v>
      </c>
      <c r="AK17" s="15" t="s">
        <v>27</v>
      </c>
      <c r="AN17" s="16"/>
      <c r="AQ17" s="11"/>
      <c r="BE17" s="151"/>
      <c r="BS17" s="6" t="s">
        <v>31</v>
      </c>
    </row>
    <row r="18" spans="2:71" s="2" customFormat="1" ht="7.5" customHeight="1">
      <c r="B18" s="10"/>
      <c r="AQ18" s="11"/>
      <c r="BE18" s="151"/>
      <c r="BS18" s="6" t="s">
        <v>6</v>
      </c>
    </row>
    <row r="19" spans="2:71" s="2" customFormat="1" ht="15" customHeight="1">
      <c r="B19" s="10"/>
      <c r="D19" s="15" t="s">
        <v>32</v>
      </c>
      <c r="AK19" s="15" t="s">
        <v>25</v>
      </c>
      <c r="AN19" s="16"/>
      <c r="AQ19" s="11"/>
      <c r="BE19" s="151"/>
      <c r="BS19" s="6" t="s">
        <v>16</v>
      </c>
    </row>
    <row r="20" spans="2:57" s="2" customFormat="1" ht="19.5" customHeight="1">
      <c r="B20" s="10"/>
      <c r="E20" s="16" t="s">
        <v>33</v>
      </c>
      <c r="AK20" s="15" t="s">
        <v>27</v>
      </c>
      <c r="AN20" s="16"/>
      <c r="AQ20" s="11"/>
      <c r="BE20" s="151"/>
    </row>
    <row r="21" spans="2:57" s="2" customFormat="1" ht="7.5" customHeight="1">
      <c r="B21" s="10"/>
      <c r="AQ21" s="11"/>
      <c r="BE21" s="151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51"/>
    </row>
    <row r="23" spans="2:57" s="2" customFormat="1" ht="15" customHeight="1">
      <c r="B23" s="10"/>
      <c r="D23" s="20" t="s">
        <v>34</v>
      </c>
      <c r="AK23" s="158">
        <f>ROUNDUP($AG$87,2)</f>
        <v>0</v>
      </c>
      <c r="AL23" s="151"/>
      <c r="AM23" s="151"/>
      <c r="AN23" s="151"/>
      <c r="AO23" s="151"/>
      <c r="AQ23" s="11"/>
      <c r="BE23" s="151"/>
    </row>
    <row r="24" spans="2:57" s="2" customFormat="1" ht="15" customHeight="1">
      <c r="B24" s="10"/>
      <c r="D24" s="20" t="s">
        <v>35</v>
      </c>
      <c r="AK24" s="158">
        <f>ROUNDUP($AG$90,2)</f>
        <v>0</v>
      </c>
      <c r="AL24" s="151"/>
      <c r="AM24" s="151"/>
      <c r="AN24" s="151"/>
      <c r="AO24" s="151"/>
      <c r="AQ24" s="11"/>
      <c r="BE24" s="151"/>
    </row>
    <row r="25" spans="2:57" s="6" customFormat="1" ht="7.5" customHeight="1">
      <c r="B25" s="21"/>
      <c r="AQ25" s="22"/>
      <c r="BE25" s="154"/>
    </row>
    <row r="26" spans="2:57" s="6" customFormat="1" ht="27" customHeight="1">
      <c r="B26" s="21"/>
      <c r="D26" s="23" t="s">
        <v>36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59">
        <f>ROUNDUP($AK$23+$AK$24,2)</f>
        <v>0</v>
      </c>
      <c r="AL26" s="160"/>
      <c r="AM26" s="160"/>
      <c r="AN26" s="160"/>
      <c r="AO26" s="160"/>
      <c r="AQ26" s="22"/>
      <c r="BE26" s="154"/>
    </row>
    <row r="27" spans="2:57" s="6" customFormat="1" ht="7.5" customHeight="1">
      <c r="B27" s="21"/>
      <c r="AQ27" s="22"/>
      <c r="BE27" s="154"/>
    </row>
    <row r="28" spans="2:57" s="6" customFormat="1" ht="15" customHeight="1">
      <c r="B28" s="25"/>
      <c r="D28" s="26" t="s">
        <v>37</v>
      </c>
      <c r="F28" s="26" t="s">
        <v>38</v>
      </c>
      <c r="L28" s="161">
        <v>0.21</v>
      </c>
      <c r="M28" s="155"/>
      <c r="N28" s="155"/>
      <c r="O28" s="155"/>
      <c r="T28" s="28" t="s">
        <v>39</v>
      </c>
      <c r="W28" s="162">
        <f>ROUNDUP($AZ$87+SUM($CD$91:$CD$104),2)</f>
        <v>0</v>
      </c>
      <c r="X28" s="155"/>
      <c r="Y28" s="155"/>
      <c r="Z28" s="155"/>
      <c r="AA28" s="155"/>
      <c r="AB28" s="155"/>
      <c r="AC28" s="155"/>
      <c r="AD28" s="155"/>
      <c r="AE28" s="155"/>
      <c r="AK28" s="162">
        <f>ROUNDUP($AV$87+SUM($BY$91:$BY$104),1)</f>
        <v>0</v>
      </c>
      <c r="AL28" s="155"/>
      <c r="AM28" s="155"/>
      <c r="AN28" s="155"/>
      <c r="AO28" s="155"/>
      <c r="AQ28" s="29"/>
      <c r="BE28" s="155"/>
    </row>
    <row r="29" spans="2:57" s="6" customFormat="1" ht="15" customHeight="1">
      <c r="B29" s="25"/>
      <c r="F29" s="26" t="s">
        <v>40</v>
      </c>
      <c r="L29" s="161">
        <v>0.15</v>
      </c>
      <c r="M29" s="155"/>
      <c r="N29" s="155"/>
      <c r="O29" s="155"/>
      <c r="T29" s="28" t="s">
        <v>39</v>
      </c>
      <c r="W29" s="162">
        <f>ROUNDUP($BA$87+SUM($CE$91:$CE$104),2)</f>
        <v>0</v>
      </c>
      <c r="X29" s="155"/>
      <c r="Y29" s="155"/>
      <c r="Z29" s="155"/>
      <c r="AA29" s="155"/>
      <c r="AB29" s="155"/>
      <c r="AC29" s="155"/>
      <c r="AD29" s="155"/>
      <c r="AE29" s="155"/>
      <c r="AK29" s="162">
        <f>ROUNDUP($AW$87+SUM($BZ$91:$BZ$104),1)</f>
        <v>0</v>
      </c>
      <c r="AL29" s="155"/>
      <c r="AM29" s="155"/>
      <c r="AN29" s="155"/>
      <c r="AO29" s="155"/>
      <c r="AQ29" s="29"/>
      <c r="BE29" s="155"/>
    </row>
    <row r="30" spans="2:57" s="6" customFormat="1" ht="15" customHeight="1" hidden="1">
      <c r="B30" s="25"/>
      <c r="F30" s="26" t="s">
        <v>41</v>
      </c>
      <c r="L30" s="161">
        <v>0.21</v>
      </c>
      <c r="M30" s="155"/>
      <c r="N30" s="155"/>
      <c r="O30" s="155"/>
      <c r="T30" s="28" t="s">
        <v>39</v>
      </c>
      <c r="W30" s="162">
        <f>ROUNDUP($BB$87+SUM($CF$91:$CF$104),2)</f>
        <v>0</v>
      </c>
      <c r="X30" s="155"/>
      <c r="Y30" s="155"/>
      <c r="Z30" s="155"/>
      <c r="AA30" s="155"/>
      <c r="AB30" s="155"/>
      <c r="AC30" s="155"/>
      <c r="AD30" s="155"/>
      <c r="AE30" s="155"/>
      <c r="AK30" s="162">
        <v>0</v>
      </c>
      <c r="AL30" s="155"/>
      <c r="AM30" s="155"/>
      <c r="AN30" s="155"/>
      <c r="AO30" s="155"/>
      <c r="AQ30" s="29"/>
      <c r="BE30" s="155"/>
    </row>
    <row r="31" spans="2:57" s="6" customFormat="1" ht="15" customHeight="1" hidden="1">
      <c r="B31" s="25"/>
      <c r="F31" s="26" t="s">
        <v>42</v>
      </c>
      <c r="L31" s="161">
        <v>0.15</v>
      </c>
      <c r="M31" s="155"/>
      <c r="N31" s="155"/>
      <c r="O31" s="155"/>
      <c r="T31" s="28" t="s">
        <v>39</v>
      </c>
      <c r="W31" s="162">
        <f>ROUNDUP($BC$87+SUM($CG$91:$CG$104),2)</f>
        <v>0</v>
      </c>
      <c r="X31" s="155"/>
      <c r="Y31" s="155"/>
      <c r="Z31" s="155"/>
      <c r="AA31" s="155"/>
      <c r="AB31" s="155"/>
      <c r="AC31" s="155"/>
      <c r="AD31" s="155"/>
      <c r="AE31" s="155"/>
      <c r="AK31" s="162">
        <v>0</v>
      </c>
      <c r="AL31" s="155"/>
      <c r="AM31" s="155"/>
      <c r="AN31" s="155"/>
      <c r="AO31" s="155"/>
      <c r="AQ31" s="29"/>
      <c r="BE31" s="155"/>
    </row>
    <row r="32" spans="2:57" s="6" customFormat="1" ht="15" customHeight="1" hidden="1">
      <c r="B32" s="25"/>
      <c r="F32" s="26" t="s">
        <v>43</v>
      </c>
      <c r="L32" s="161">
        <v>0</v>
      </c>
      <c r="M32" s="155"/>
      <c r="N32" s="155"/>
      <c r="O32" s="155"/>
      <c r="T32" s="28" t="s">
        <v>39</v>
      </c>
      <c r="W32" s="162">
        <f>ROUNDUP($BD$87+SUM($CH$91:$CH$104),2)</f>
        <v>0</v>
      </c>
      <c r="X32" s="155"/>
      <c r="Y32" s="155"/>
      <c r="Z32" s="155"/>
      <c r="AA32" s="155"/>
      <c r="AB32" s="155"/>
      <c r="AC32" s="155"/>
      <c r="AD32" s="155"/>
      <c r="AE32" s="155"/>
      <c r="AK32" s="162">
        <v>0</v>
      </c>
      <c r="AL32" s="155"/>
      <c r="AM32" s="155"/>
      <c r="AN32" s="155"/>
      <c r="AO32" s="155"/>
      <c r="AQ32" s="29"/>
      <c r="BE32" s="155"/>
    </row>
    <row r="33" spans="2:57" s="6" customFormat="1" ht="7.5" customHeight="1">
      <c r="B33" s="21"/>
      <c r="AQ33" s="22"/>
      <c r="BE33" s="154"/>
    </row>
    <row r="34" spans="2:57" s="6" customFormat="1" ht="27" customHeight="1">
      <c r="B34" s="21"/>
      <c r="C34" s="30"/>
      <c r="D34" s="31" t="s">
        <v>44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 t="s">
        <v>45</v>
      </c>
      <c r="U34" s="32"/>
      <c r="V34" s="32"/>
      <c r="W34" s="32"/>
      <c r="X34" s="163" t="s">
        <v>46</v>
      </c>
      <c r="Y34" s="164"/>
      <c r="Z34" s="164"/>
      <c r="AA34" s="164"/>
      <c r="AB34" s="164"/>
      <c r="AC34" s="32"/>
      <c r="AD34" s="32"/>
      <c r="AE34" s="32"/>
      <c r="AF34" s="32"/>
      <c r="AG34" s="32"/>
      <c r="AH34" s="32"/>
      <c r="AI34" s="32"/>
      <c r="AJ34" s="32"/>
      <c r="AK34" s="165">
        <f>ROUNDUP(SUM($AK$26:$AK$32),2)</f>
        <v>0</v>
      </c>
      <c r="AL34" s="164"/>
      <c r="AM34" s="164"/>
      <c r="AN34" s="164"/>
      <c r="AO34" s="166"/>
      <c r="AP34" s="30"/>
      <c r="AQ34" s="22"/>
      <c r="BE34" s="154"/>
    </row>
    <row r="35" spans="2:43" s="6" customFormat="1" ht="15" customHeight="1">
      <c r="B35" s="21"/>
      <c r="AQ35" s="22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1"/>
      <c r="D49" s="34" t="s">
        <v>47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48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2"/>
    </row>
    <row r="50" spans="2:43" s="2" customFormat="1" ht="14.25" customHeight="1">
      <c r="B50" s="10"/>
      <c r="D50" s="37"/>
      <c r="Z50" s="38"/>
      <c r="AC50" s="37"/>
      <c r="AO50" s="38"/>
      <c r="AQ50" s="11"/>
    </row>
    <row r="51" spans="2:43" s="2" customFormat="1" ht="14.25" customHeight="1">
      <c r="B51" s="10"/>
      <c r="D51" s="37"/>
      <c r="Z51" s="38"/>
      <c r="AC51" s="37"/>
      <c r="AO51" s="38"/>
      <c r="AQ51" s="11"/>
    </row>
    <row r="52" spans="2:43" s="2" customFormat="1" ht="14.25" customHeight="1">
      <c r="B52" s="10"/>
      <c r="D52" s="37"/>
      <c r="Z52" s="38"/>
      <c r="AC52" s="37"/>
      <c r="AO52" s="38"/>
      <c r="AQ52" s="11"/>
    </row>
    <row r="53" spans="2:43" s="2" customFormat="1" ht="14.25" customHeight="1">
      <c r="B53" s="10"/>
      <c r="D53" s="37"/>
      <c r="Z53" s="38"/>
      <c r="AC53" s="37"/>
      <c r="AO53" s="38"/>
      <c r="AQ53" s="11"/>
    </row>
    <row r="54" spans="2:43" s="2" customFormat="1" ht="14.25" customHeight="1">
      <c r="B54" s="10"/>
      <c r="D54" s="37"/>
      <c r="Z54" s="38"/>
      <c r="AC54" s="37"/>
      <c r="AO54" s="38"/>
      <c r="AQ54" s="11"/>
    </row>
    <row r="55" spans="2:43" s="2" customFormat="1" ht="14.25" customHeight="1">
      <c r="B55" s="10"/>
      <c r="D55" s="37"/>
      <c r="Z55" s="38"/>
      <c r="AC55" s="37"/>
      <c r="AO55" s="38"/>
      <c r="AQ55" s="11"/>
    </row>
    <row r="56" spans="2:43" s="2" customFormat="1" ht="14.25" customHeight="1">
      <c r="B56" s="10"/>
      <c r="D56" s="37"/>
      <c r="Z56" s="38"/>
      <c r="AC56" s="37"/>
      <c r="AO56" s="38"/>
      <c r="AQ56" s="11"/>
    </row>
    <row r="57" spans="2:43" s="2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1"/>
      <c r="D58" s="39" t="s">
        <v>49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50</v>
      </c>
      <c r="S58" s="40"/>
      <c r="T58" s="40"/>
      <c r="U58" s="40"/>
      <c r="V58" s="40"/>
      <c r="W58" s="40"/>
      <c r="X58" s="40"/>
      <c r="Y58" s="40"/>
      <c r="Z58" s="42"/>
      <c r="AC58" s="39" t="s">
        <v>49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50</v>
      </c>
      <c r="AN58" s="40"/>
      <c r="AO58" s="42"/>
      <c r="AQ58" s="22"/>
    </row>
    <row r="59" spans="2:43" s="2" customFormat="1" ht="14.25" customHeight="1">
      <c r="B59" s="10"/>
      <c r="AQ59" s="11"/>
    </row>
    <row r="60" spans="2:43" s="6" customFormat="1" ht="15.75" customHeight="1">
      <c r="B60" s="21"/>
      <c r="D60" s="34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52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2"/>
    </row>
    <row r="61" spans="2:43" s="2" customFormat="1" ht="14.25" customHeight="1">
      <c r="B61" s="10"/>
      <c r="D61" s="37"/>
      <c r="Z61" s="38"/>
      <c r="AC61" s="37"/>
      <c r="AO61" s="38"/>
      <c r="AQ61" s="11"/>
    </row>
    <row r="62" spans="2:43" s="2" customFormat="1" ht="14.25" customHeight="1">
      <c r="B62" s="10"/>
      <c r="D62" s="37"/>
      <c r="Z62" s="38"/>
      <c r="AC62" s="37"/>
      <c r="AO62" s="38"/>
      <c r="AQ62" s="11"/>
    </row>
    <row r="63" spans="2:43" s="2" customFormat="1" ht="14.25" customHeight="1">
      <c r="B63" s="10"/>
      <c r="D63" s="37"/>
      <c r="Z63" s="38"/>
      <c r="AC63" s="37"/>
      <c r="AO63" s="38"/>
      <c r="AQ63" s="11"/>
    </row>
    <row r="64" spans="2:43" s="2" customFormat="1" ht="14.25" customHeight="1">
      <c r="B64" s="10"/>
      <c r="D64" s="37"/>
      <c r="Z64" s="38"/>
      <c r="AC64" s="37"/>
      <c r="AO64" s="38"/>
      <c r="AQ64" s="11"/>
    </row>
    <row r="65" spans="2:43" s="2" customFormat="1" ht="14.25" customHeight="1">
      <c r="B65" s="10"/>
      <c r="D65" s="37"/>
      <c r="Z65" s="38"/>
      <c r="AC65" s="37"/>
      <c r="AO65" s="38"/>
      <c r="AQ65" s="11"/>
    </row>
    <row r="66" spans="2:43" s="2" customFormat="1" ht="14.25" customHeight="1">
      <c r="B66" s="10"/>
      <c r="D66" s="37"/>
      <c r="Z66" s="38"/>
      <c r="AC66" s="37"/>
      <c r="AO66" s="38"/>
      <c r="AQ66" s="11"/>
    </row>
    <row r="67" spans="2:43" s="2" customFormat="1" ht="14.25" customHeight="1">
      <c r="B67" s="10"/>
      <c r="D67" s="37"/>
      <c r="Z67" s="38"/>
      <c r="AC67" s="37"/>
      <c r="AO67" s="38"/>
      <c r="AQ67" s="11"/>
    </row>
    <row r="68" spans="2:43" s="2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1"/>
      <c r="D69" s="39" t="s">
        <v>49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50</v>
      </c>
      <c r="S69" s="40"/>
      <c r="T69" s="40"/>
      <c r="U69" s="40"/>
      <c r="V69" s="40"/>
      <c r="W69" s="40"/>
      <c r="X69" s="40"/>
      <c r="Y69" s="40"/>
      <c r="Z69" s="42"/>
      <c r="AC69" s="39" t="s">
        <v>49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50</v>
      </c>
      <c r="AN69" s="40"/>
      <c r="AO69" s="42"/>
      <c r="AQ69" s="22"/>
    </row>
    <row r="70" spans="2:43" s="6" customFormat="1" ht="7.5" customHeight="1">
      <c r="B70" s="21"/>
      <c r="AQ70" s="22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1"/>
      <c r="C76" s="152" t="s">
        <v>53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22"/>
    </row>
    <row r="77" spans="2:43" s="6" customFormat="1" ht="7.5" customHeight="1">
      <c r="B77" s="21"/>
      <c r="AQ77" s="22"/>
    </row>
    <row r="78" spans="2:43" s="14" customFormat="1" ht="27" customHeight="1">
      <c r="B78" s="49"/>
      <c r="C78" s="14" t="s">
        <v>14</v>
      </c>
      <c r="L78" s="156" t="str">
        <f>$K$6</f>
        <v>1217 - Rekonstrukce arboreta - Povalové chodníky </v>
      </c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Q78" s="50"/>
    </row>
    <row r="79" spans="2:43" s="6" customFormat="1" ht="7.5" customHeight="1">
      <c r="B79" s="21"/>
      <c r="AQ79" s="22"/>
    </row>
    <row r="80" spans="2:43" s="6" customFormat="1" ht="15.75" customHeight="1">
      <c r="B80" s="21"/>
      <c r="C80" s="15" t="s">
        <v>18</v>
      </c>
      <c r="L80" s="51" t="str">
        <f>IF($K$8="","",$K$8)</f>
        <v> </v>
      </c>
      <c r="AI80" s="15" t="s">
        <v>20</v>
      </c>
      <c r="AM80" s="52" t="str">
        <f>IF($AN$8="","",$AN$8)</f>
        <v>29.05.2013</v>
      </c>
      <c r="AQ80" s="22"/>
    </row>
    <row r="81" spans="2:43" s="6" customFormat="1" ht="7.5" customHeight="1">
      <c r="B81" s="21"/>
      <c r="AQ81" s="22"/>
    </row>
    <row r="82" spans="2:56" s="6" customFormat="1" ht="18.75" customHeight="1">
      <c r="B82" s="21"/>
      <c r="C82" s="15" t="s">
        <v>24</v>
      </c>
      <c r="L82" s="16" t="str">
        <f>IF($E$11="","",$E$11)</f>
        <v>Město Zákupy</v>
      </c>
      <c r="AI82" s="15" t="s">
        <v>30</v>
      </c>
      <c r="AM82" s="167" t="str">
        <f>IF($E$17="","",$E$17)</f>
        <v> </v>
      </c>
      <c r="AN82" s="154"/>
      <c r="AO82" s="154"/>
      <c r="AP82" s="154"/>
      <c r="AQ82" s="22"/>
      <c r="AS82" s="168" t="s">
        <v>54</v>
      </c>
      <c r="AT82" s="169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1"/>
      <c r="C83" s="15" t="s">
        <v>28</v>
      </c>
      <c r="L83" s="16">
        <f>IF($E$14="Vyplň údaj","",$E$14)</f>
      </c>
      <c r="AI83" s="15" t="s">
        <v>32</v>
      </c>
      <c r="AM83" s="167" t="str">
        <f>IF($E$20="","",$E$20)</f>
        <v>Ing. Hybášek</v>
      </c>
      <c r="AN83" s="154"/>
      <c r="AO83" s="154"/>
      <c r="AP83" s="154"/>
      <c r="AQ83" s="22"/>
      <c r="AS83" s="170"/>
      <c r="AT83" s="154"/>
      <c r="BD83" s="54"/>
    </row>
    <row r="84" spans="2:56" s="6" customFormat="1" ht="12" customHeight="1">
      <c r="B84" s="21"/>
      <c r="AQ84" s="22"/>
      <c r="AS84" s="170"/>
      <c r="AT84" s="154"/>
      <c r="BD84" s="54"/>
    </row>
    <row r="85" spans="2:57" s="6" customFormat="1" ht="30" customHeight="1">
      <c r="B85" s="21"/>
      <c r="C85" s="171" t="s">
        <v>55</v>
      </c>
      <c r="D85" s="164"/>
      <c r="E85" s="164"/>
      <c r="F85" s="164"/>
      <c r="G85" s="164"/>
      <c r="H85" s="32"/>
      <c r="I85" s="172" t="s">
        <v>56</v>
      </c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72" t="s">
        <v>57</v>
      </c>
      <c r="AH85" s="164"/>
      <c r="AI85" s="164"/>
      <c r="AJ85" s="164"/>
      <c r="AK85" s="164"/>
      <c r="AL85" s="164"/>
      <c r="AM85" s="164"/>
      <c r="AN85" s="172" t="s">
        <v>58</v>
      </c>
      <c r="AO85" s="164"/>
      <c r="AP85" s="166"/>
      <c r="AQ85" s="22"/>
      <c r="AS85" s="55" t="s">
        <v>59</v>
      </c>
      <c r="AT85" s="56" t="s">
        <v>60</v>
      </c>
      <c r="AU85" s="56" t="s">
        <v>61</v>
      </c>
      <c r="AV85" s="56" t="s">
        <v>62</v>
      </c>
      <c r="AW85" s="56" t="s">
        <v>63</v>
      </c>
      <c r="AX85" s="56" t="s">
        <v>64</v>
      </c>
      <c r="AY85" s="56" t="s">
        <v>65</v>
      </c>
      <c r="AZ85" s="56" t="s">
        <v>66</v>
      </c>
      <c r="BA85" s="56" t="s">
        <v>67</v>
      </c>
      <c r="BB85" s="56" t="s">
        <v>68</v>
      </c>
      <c r="BC85" s="56" t="s">
        <v>69</v>
      </c>
      <c r="BD85" s="57" t="s">
        <v>70</v>
      </c>
      <c r="BE85" s="58"/>
    </row>
    <row r="86" spans="2:56" s="6" customFormat="1" ht="12" customHeight="1">
      <c r="B86" s="21"/>
      <c r="AQ86" s="22"/>
      <c r="AS86" s="59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14" customFormat="1" ht="33" customHeight="1">
      <c r="B87" s="49"/>
      <c r="C87" s="60" t="s">
        <v>71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80">
        <f>ROUNDUP($AG$88,2)</f>
        <v>0</v>
      </c>
      <c r="AH87" s="181"/>
      <c r="AI87" s="181"/>
      <c r="AJ87" s="181"/>
      <c r="AK87" s="181"/>
      <c r="AL87" s="181"/>
      <c r="AM87" s="181"/>
      <c r="AN87" s="180">
        <f>ROUNDUP(SUM($AG$87,$AT$87),2)</f>
        <v>0</v>
      </c>
      <c r="AO87" s="181"/>
      <c r="AP87" s="181"/>
      <c r="AQ87" s="50"/>
      <c r="AS87" s="61">
        <f>ROUNDUP($AS$88,2)</f>
        <v>0</v>
      </c>
      <c r="AT87" s="62">
        <f>ROUNDUP(SUM($AV$87:$AW$87),1)</f>
        <v>0</v>
      </c>
      <c r="AU87" s="63">
        <f>ROUNDUP($AU$88,5)</f>
        <v>875.5160599999999</v>
      </c>
      <c r="AV87" s="62">
        <f>ROUNDUP($AZ$87*$L$28,2)</f>
        <v>0</v>
      </c>
      <c r="AW87" s="62">
        <f>ROUNDUP($BA$87*$L$29,2)</f>
        <v>0</v>
      </c>
      <c r="AX87" s="62">
        <f>ROUNDUP($BB$87*$L$28,2)</f>
        <v>0</v>
      </c>
      <c r="AY87" s="62">
        <f>ROUNDUP($BC$87*$L$29,2)</f>
        <v>0</v>
      </c>
      <c r="AZ87" s="62">
        <f>ROUNDUP($AZ$88,2)</f>
        <v>0</v>
      </c>
      <c r="BA87" s="62">
        <f>ROUNDUP($BA$88,2)</f>
        <v>0</v>
      </c>
      <c r="BB87" s="62">
        <f>ROUNDUP($BB$88,2)</f>
        <v>0</v>
      </c>
      <c r="BC87" s="62">
        <f>ROUNDUP($BC$88,2)</f>
        <v>0</v>
      </c>
      <c r="BD87" s="64">
        <f>ROUNDUP($BD$88,2)</f>
        <v>0</v>
      </c>
      <c r="BS87" s="14" t="s">
        <v>72</v>
      </c>
      <c r="BT87" s="14" t="s">
        <v>73</v>
      </c>
      <c r="BU87" s="65" t="s">
        <v>74</v>
      </c>
      <c r="BV87" s="14" t="s">
        <v>75</v>
      </c>
      <c r="BW87" s="14" t="s">
        <v>76</v>
      </c>
      <c r="BX87" s="14" t="s">
        <v>77</v>
      </c>
    </row>
    <row r="88" spans="1:76" s="66" customFormat="1" ht="28.5" customHeight="1">
      <c r="A88" s="215" t="s">
        <v>228</v>
      </c>
      <c r="B88" s="67"/>
      <c r="C88" s="68"/>
      <c r="D88" s="175" t="s">
        <v>78</v>
      </c>
      <c r="E88" s="176"/>
      <c r="F88" s="176"/>
      <c r="G88" s="176"/>
      <c r="H88" s="176"/>
      <c r="I88" s="68"/>
      <c r="J88" s="175" t="s">
        <v>79</v>
      </c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3">
        <f>'Úsek A - Rekonstrukce arb...'!$M$27</f>
        <v>0</v>
      </c>
      <c r="AH88" s="174"/>
      <c r="AI88" s="174"/>
      <c r="AJ88" s="174"/>
      <c r="AK88" s="174"/>
      <c r="AL88" s="174"/>
      <c r="AM88" s="174"/>
      <c r="AN88" s="173">
        <f>ROUNDUP(SUM($AG$88,$AT$88),2)</f>
        <v>0</v>
      </c>
      <c r="AO88" s="174"/>
      <c r="AP88" s="174"/>
      <c r="AQ88" s="69"/>
      <c r="AS88" s="70">
        <f>'Úsek A - Rekonstrukce arb...'!$M$25</f>
        <v>0</v>
      </c>
      <c r="AT88" s="71">
        <f>ROUNDUP(SUM($AV$88:$AW$88),1)</f>
        <v>0</v>
      </c>
      <c r="AU88" s="72">
        <f>'Úsek A - Rekonstrukce arb...'!$W$126</f>
        <v>875.5160569999998</v>
      </c>
      <c r="AV88" s="71">
        <f>'Úsek A - Rekonstrukce arb...'!$M$29</f>
        <v>0</v>
      </c>
      <c r="AW88" s="71">
        <f>'Úsek A - Rekonstrukce arb...'!$M$30</f>
        <v>0</v>
      </c>
      <c r="AX88" s="71">
        <f>'Úsek A - Rekonstrukce arb...'!$M$31</f>
        <v>0</v>
      </c>
      <c r="AY88" s="71">
        <f>'Úsek A - Rekonstrukce arb...'!$M$32</f>
        <v>0</v>
      </c>
      <c r="AZ88" s="71">
        <f>'Úsek A - Rekonstrukce arb...'!$H$29</f>
        <v>0</v>
      </c>
      <c r="BA88" s="71">
        <f>'Úsek A - Rekonstrukce arb...'!$H$30</f>
        <v>0</v>
      </c>
      <c r="BB88" s="71">
        <f>'Úsek A - Rekonstrukce arb...'!$H$31</f>
        <v>0</v>
      </c>
      <c r="BC88" s="71">
        <f>'Úsek A - Rekonstrukce arb...'!$H$32</f>
        <v>0</v>
      </c>
      <c r="BD88" s="73">
        <f>'Úsek A - Rekonstrukce arb...'!$H$33</f>
        <v>0</v>
      </c>
      <c r="BT88" s="66" t="s">
        <v>17</v>
      </c>
      <c r="BV88" s="66" t="s">
        <v>75</v>
      </c>
      <c r="BW88" s="66" t="s">
        <v>80</v>
      </c>
      <c r="BX88" s="66" t="s">
        <v>76</v>
      </c>
    </row>
    <row r="89" spans="2:43" s="2" customFormat="1" ht="14.25" customHeight="1">
      <c r="B89" s="10"/>
      <c r="AQ89" s="11"/>
    </row>
    <row r="90" spans="2:49" s="6" customFormat="1" ht="30.75" customHeight="1">
      <c r="B90" s="21"/>
      <c r="C90" s="60" t="s">
        <v>81</v>
      </c>
      <c r="AG90" s="180">
        <f>ROUNDUP(SUM($AG$91:$AG$103),2)</f>
        <v>0</v>
      </c>
      <c r="AH90" s="154"/>
      <c r="AI90" s="154"/>
      <c r="AJ90" s="154"/>
      <c r="AK90" s="154"/>
      <c r="AL90" s="154"/>
      <c r="AM90" s="154"/>
      <c r="AN90" s="180">
        <f>ROUNDUP(SUM($AN$91:$AN$103),2)</f>
        <v>0</v>
      </c>
      <c r="AO90" s="154"/>
      <c r="AP90" s="154"/>
      <c r="AQ90" s="22"/>
      <c r="AS90" s="55" t="s">
        <v>82</v>
      </c>
      <c r="AT90" s="56" t="s">
        <v>83</v>
      </c>
      <c r="AU90" s="56" t="s">
        <v>37</v>
      </c>
      <c r="AV90" s="57" t="s">
        <v>60</v>
      </c>
      <c r="AW90" s="58"/>
    </row>
    <row r="91" spans="2:89" s="6" customFormat="1" ht="21" customHeight="1">
      <c r="B91" s="21"/>
      <c r="D91" s="74" t="s">
        <v>84</v>
      </c>
      <c r="AG91" s="177">
        <f>ROUNDUP($AG$87*$AS$91,2)</f>
        <v>0</v>
      </c>
      <c r="AH91" s="154"/>
      <c r="AI91" s="154"/>
      <c r="AJ91" s="154"/>
      <c r="AK91" s="154"/>
      <c r="AL91" s="154"/>
      <c r="AM91" s="154"/>
      <c r="AN91" s="178">
        <f>ROUNDUP($AG$91+$AV$91,2)</f>
        <v>0</v>
      </c>
      <c r="AO91" s="154"/>
      <c r="AP91" s="154"/>
      <c r="AQ91" s="22"/>
      <c r="AS91" s="75">
        <v>0</v>
      </c>
      <c r="AT91" s="76" t="s">
        <v>85</v>
      </c>
      <c r="AU91" s="76" t="s">
        <v>38</v>
      </c>
      <c r="AV91" s="77">
        <f>ROUNDUP(IF($AU$91="základní",$AG$91*$L$28,IF($AU$91="snížená",$AG$91*$L$29,0)),2)</f>
        <v>0</v>
      </c>
      <c r="BV91" s="6" t="s">
        <v>86</v>
      </c>
      <c r="BY91" s="78">
        <f>IF($AU$91="základní",$AV$91,0)</f>
        <v>0</v>
      </c>
      <c r="BZ91" s="78">
        <f>IF($AU$91="snížená",$AV$91,0)</f>
        <v>0</v>
      </c>
      <c r="CA91" s="78">
        <v>0</v>
      </c>
      <c r="CB91" s="78">
        <v>0</v>
      </c>
      <c r="CC91" s="78">
        <v>0</v>
      </c>
      <c r="CD91" s="78">
        <f>IF($AU$91="základní",$AG$91,0)</f>
        <v>0</v>
      </c>
      <c r="CE91" s="78">
        <f>IF($AU$91="snížená",$AG$91,0)</f>
        <v>0</v>
      </c>
      <c r="CF91" s="78">
        <f>IF($AU$91="zákl. přenesená",$AG$91,0)</f>
        <v>0</v>
      </c>
      <c r="CG91" s="78">
        <f>IF($AU$91="sníž. přenesená",$AG$91,0)</f>
        <v>0</v>
      </c>
      <c r="CH91" s="78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1"/>
      <c r="D92" s="74" t="s">
        <v>87</v>
      </c>
      <c r="AG92" s="177">
        <f>ROUNDUP($AG$87*$AS$92,2)</f>
        <v>0</v>
      </c>
      <c r="AH92" s="154"/>
      <c r="AI92" s="154"/>
      <c r="AJ92" s="154"/>
      <c r="AK92" s="154"/>
      <c r="AL92" s="154"/>
      <c r="AM92" s="154"/>
      <c r="AN92" s="178">
        <f>ROUNDUP($AG$92+$AV$92,2)</f>
        <v>0</v>
      </c>
      <c r="AO92" s="154"/>
      <c r="AP92" s="154"/>
      <c r="AQ92" s="22"/>
      <c r="AS92" s="79">
        <v>0</v>
      </c>
      <c r="AT92" s="80" t="s">
        <v>85</v>
      </c>
      <c r="AU92" s="80" t="s">
        <v>38</v>
      </c>
      <c r="AV92" s="81">
        <f>ROUNDUP(IF($AU$92="základní",$AG$92*$L$28,IF($AU$92="snížená",$AG$92*$L$29,0)),2)</f>
        <v>0</v>
      </c>
      <c r="BV92" s="6" t="s">
        <v>86</v>
      </c>
      <c r="BY92" s="78">
        <f>IF($AU$92="základní",$AV$92,0)</f>
        <v>0</v>
      </c>
      <c r="BZ92" s="78">
        <f>IF($AU$92="snížená",$AV$92,0)</f>
        <v>0</v>
      </c>
      <c r="CA92" s="78">
        <v>0</v>
      </c>
      <c r="CB92" s="78">
        <v>0</v>
      </c>
      <c r="CC92" s="78">
        <v>0</v>
      </c>
      <c r="CD92" s="78">
        <f>IF($AU$92="základní",$AG$92,0)</f>
        <v>0</v>
      </c>
      <c r="CE92" s="78">
        <f>IF($AU$92="snížená",$AG$92,0)</f>
        <v>0</v>
      </c>
      <c r="CF92" s="78">
        <f>IF($AU$92="zákl. přenesená",$AG$92,0)</f>
        <v>0</v>
      </c>
      <c r="CG92" s="78">
        <f>IF($AU$92="sníž. přenesená",$AG$92,0)</f>
        <v>0</v>
      </c>
      <c r="CH92" s="78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1"/>
      <c r="D93" s="74" t="s">
        <v>88</v>
      </c>
      <c r="AG93" s="177">
        <f>ROUNDUP($AG$87*$AS$93,2)</f>
        <v>0</v>
      </c>
      <c r="AH93" s="154"/>
      <c r="AI93" s="154"/>
      <c r="AJ93" s="154"/>
      <c r="AK93" s="154"/>
      <c r="AL93" s="154"/>
      <c r="AM93" s="154"/>
      <c r="AN93" s="178">
        <f>ROUNDUP($AG$93+$AV$93,2)</f>
        <v>0</v>
      </c>
      <c r="AO93" s="154"/>
      <c r="AP93" s="154"/>
      <c r="AQ93" s="22"/>
      <c r="AS93" s="79">
        <v>0</v>
      </c>
      <c r="AT93" s="80" t="s">
        <v>85</v>
      </c>
      <c r="AU93" s="80" t="s">
        <v>38</v>
      </c>
      <c r="AV93" s="81">
        <f>ROUNDUP(IF($AU$93="základní",$AG$93*$L$28,IF($AU$93="snížená",$AG$93*$L$29,0)),2)</f>
        <v>0</v>
      </c>
      <c r="BV93" s="6" t="s">
        <v>86</v>
      </c>
      <c r="BY93" s="78">
        <f>IF($AU$93="základní",$AV$93,0)</f>
        <v>0</v>
      </c>
      <c r="BZ93" s="78">
        <f>IF($AU$93="snížená",$AV$93,0)</f>
        <v>0</v>
      </c>
      <c r="CA93" s="78">
        <v>0</v>
      </c>
      <c r="CB93" s="78">
        <v>0</v>
      </c>
      <c r="CC93" s="78">
        <v>0</v>
      </c>
      <c r="CD93" s="78">
        <f>IF($AU$93="základní",$AG$93,0)</f>
        <v>0</v>
      </c>
      <c r="CE93" s="78">
        <f>IF($AU$93="snížená",$AG$93,0)</f>
        <v>0</v>
      </c>
      <c r="CF93" s="78">
        <f>IF($AU$93="zákl. přenesená",$AG$93,0)</f>
        <v>0</v>
      </c>
      <c r="CG93" s="78">
        <f>IF($AU$93="sníž. přenesená",$AG$93,0)</f>
        <v>0</v>
      </c>
      <c r="CH93" s="78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1"/>
      <c r="D94" s="74" t="s">
        <v>89</v>
      </c>
      <c r="AG94" s="177">
        <f>ROUNDUP($AG$87*$AS$94,2)</f>
        <v>0</v>
      </c>
      <c r="AH94" s="154"/>
      <c r="AI94" s="154"/>
      <c r="AJ94" s="154"/>
      <c r="AK94" s="154"/>
      <c r="AL94" s="154"/>
      <c r="AM94" s="154"/>
      <c r="AN94" s="178">
        <f>ROUNDUP($AG$94+$AV$94,2)</f>
        <v>0</v>
      </c>
      <c r="AO94" s="154"/>
      <c r="AP94" s="154"/>
      <c r="AQ94" s="22"/>
      <c r="AS94" s="79">
        <v>0</v>
      </c>
      <c r="AT94" s="80" t="s">
        <v>85</v>
      </c>
      <c r="AU94" s="80" t="s">
        <v>38</v>
      </c>
      <c r="AV94" s="81">
        <f>ROUNDUP(IF($AU$94="základní",$AG$94*$L$28,IF($AU$94="snížená",$AG$94*$L$29,0)),2)</f>
        <v>0</v>
      </c>
      <c r="BV94" s="6" t="s">
        <v>86</v>
      </c>
      <c r="BY94" s="78">
        <f>IF($AU$94="základní",$AV$94,0)</f>
        <v>0</v>
      </c>
      <c r="BZ94" s="78">
        <f>IF($AU$94="snížená",$AV$94,0)</f>
        <v>0</v>
      </c>
      <c r="CA94" s="78">
        <v>0</v>
      </c>
      <c r="CB94" s="78">
        <v>0</v>
      </c>
      <c r="CC94" s="78">
        <v>0</v>
      </c>
      <c r="CD94" s="78">
        <f>IF($AU$94="základní",$AG$94,0)</f>
        <v>0</v>
      </c>
      <c r="CE94" s="78">
        <f>IF($AU$94="snížená",$AG$94,0)</f>
        <v>0</v>
      </c>
      <c r="CF94" s="78">
        <f>IF($AU$94="zákl. přenesená",$AG$94,0)</f>
        <v>0</v>
      </c>
      <c r="CG94" s="78">
        <f>IF($AU$94="sníž. přenesená",$AG$94,0)</f>
        <v>0</v>
      </c>
      <c r="CH94" s="78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1"/>
      <c r="D95" s="74" t="s">
        <v>90</v>
      </c>
      <c r="AG95" s="177">
        <f>ROUNDUP($AG$87*$AS$95,2)</f>
        <v>0</v>
      </c>
      <c r="AH95" s="154"/>
      <c r="AI95" s="154"/>
      <c r="AJ95" s="154"/>
      <c r="AK95" s="154"/>
      <c r="AL95" s="154"/>
      <c r="AM95" s="154"/>
      <c r="AN95" s="178">
        <f>ROUNDUP($AG$95+$AV$95,2)</f>
        <v>0</v>
      </c>
      <c r="AO95" s="154"/>
      <c r="AP95" s="154"/>
      <c r="AQ95" s="22"/>
      <c r="AS95" s="79">
        <v>0</v>
      </c>
      <c r="AT95" s="80" t="s">
        <v>85</v>
      </c>
      <c r="AU95" s="80" t="s">
        <v>38</v>
      </c>
      <c r="AV95" s="81">
        <f>ROUNDUP(IF($AU$95="základní",$AG$95*$L$28,IF($AU$95="snížená",$AG$95*$L$29,0)),2)</f>
        <v>0</v>
      </c>
      <c r="BV95" s="6" t="s">
        <v>86</v>
      </c>
      <c r="BY95" s="78">
        <f>IF($AU$95="základní",$AV$95,0)</f>
        <v>0</v>
      </c>
      <c r="BZ95" s="78">
        <f>IF($AU$95="snížená",$AV$95,0)</f>
        <v>0</v>
      </c>
      <c r="CA95" s="78">
        <v>0</v>
      </c>
      <c r="CB95" s="78">
        <v>0</v>
      </c>
      <c r="CC95" s="78">
        <v>0</v>
      </c>
      <c r="CD95" s="78">
        <f>IF($AU$95="základní",$AG$95,0)</f>
        <v>0</v>
      </c>
      <c r="CE95" s="78">
        <f>IF($AU$95="snížená",$AG$95,0)</f>
        <v>0</v>
      </c>
      <c r="CF95" s="78">
        <f>IF($AU$95="zákl. přenesená",$AG$95,0)</f>
        <v>0</v>
      </c>
      <c r="CG95" s="78">
        <f>IF($AU$95="sníž. přenesená",$AG$95,0)</f>
        <v>0</v>
      </c>
      <c r="CH95" s="78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1"/>
      <c r="D96" s="74" t="s">
        <v>91</v>
      </c>
      <c r="AG96" s="177">
        <f>ROUNDUP($AG$87*$AS$96,2)</f>
        <v>0</v>
      </c>
      <c r="AH96" s="154"/>
      <c r="AI96" s="154"/>
      <c r="AJ96" s="154"/>
      <c r="AK96" s="154"/>
      <c r="AL96" s="154"/>
      <c r="AM96" s="154"/>
      <c r="AN96" s="178">
        <f>ROUNDUP($AG$96+$AV$96,2)</f>
        <v>0</v>
      </c>
      <c r="AO96" s="154"/>
      <c r="AP96" s="154"/>
      <c r="AQ96" s="22"/>
      <c r="AS96" s="79">
        <v>0</v>
      </c>
      <c r="AT96" s="80" t="s">
        <v>85</v>
      </c>
      <c r="AU96" s="80" t="s">
        <v>38</v>
      </c>
      <c r="AV96" s="81">
        <f>ROUNDUP(IF($AU$96="základní",$AG$96*$L$28,IF($AU$96="snížená",$AG$96*$L$29,0)),2)</f>
        <v>0</v>
      </c>
      <c r="BV96" s="6" t="s">
        <v>86</v>
      </c>
      <c r="BY96" s="78">
        <f>IF($AU$96="základní",$AV$96,0)</f>
        <v>0</v>
      </c>
      <c r="BZ96" s="78">
        <f>IF($AU$96="snížená",$AV$96,0)</f>
        <v>0</v>
      </c>
      <c r="CA96" s="78">
        <v>0</v>
      </c>
      <c r="CB96" s="78">
        <v>0</v>
      </c>
      <c r="CC96" s="78">
        <v>0</v>
      </c>
      <c r="CD96" s="78">
        <f>IF($AU$96="základní",$AG$96,0)</f>
        <v>0</v>
      </c>
      <c r="CE96" s="78">
        <f>IF($AU$96="snížená",$AG$96,0)</f>
        <v>0</v>
      </c>
      <c r="CF96" s="78">
        <f>IF($AU$96="zákl. přenesená",$AG$96,0)</f>
        <v>0</v>
      </c>
      <c r="CG96" s="78">
        <f>IF($AU$96="sníž. přenesená",$AG$96,0)</f>
        <v>0</v>
      </c>
      <c r="CH96" s="78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1"/>
      <c r="D97" s="74" t="s">
        <v>92</v>
      </c>
      <c r="AG97" s="177">
        <f>ROUNDUP($AG$87*$AS$97,2)</f>
        <v>0</v>
      </c>
      <c r="AH97" s="154"/>
      <c r="AI97" s="154"/>
      <c r="AJ97" s="154"/>
      <c r="AK97" s="154"/>
      <c r="AL97" s="154"/>
      <c r="AM97" s="154"/>
      <c r="AN97" s="178">
        <f>ROUNDUP($AG$97+$AV$97,2)</f>
        <v>0</v>
      </c>
      <c r="AO97" s="154"/>
      <c r="AP97" s="154"/>
      <c r="AQ97" s="22"/>
      <c r="AS97" s="79">
        <v>0</v>
      </c>
      <c r="AT97" s="80" t="s">
        <v>85</v>
      </c>
      <c r="AU97" s="80" t="s">
        <v>38</v>
      </c>
      <c r="AV97" s="81">
        <f>ROUNDUP(IF($AU$97="základní",$AG$97*$L$28,IF($AU$97="snížená",$AG$97*$L$29,0)),2)</f>
        <v>0</v>
      </c>
      <c r="BV97" s="6" t="s">
        <v>86</v>
      </c>
      <c r="BY97" s="78">
        <f>IF($AU$97="základní",$AV$97,0)</f>
        <v>0</v>
      </c>
      <c r="BZ97" s="78">
        <f>IF($AU$97="snížená",$AV$97,0)</f>
        <v>0</v>
      </c>
      <c r="CA97" s="78">
        <v>0</v>
      </c>
      <c r="CB97" s="78">
        <v>0</v>
      </c>
      <c r="CC97" s="78">
        <v>0</v>
      </c>
      <c r="CD97" s="78">
        <f>IF($AU$97="základní",$AG$97,0)</f>
        <v>0</v>
      </c>
      <c r="CE97" s="78">
        <f>IF($AU$97="snížená",$AG$97,0)</f>
        <v>0</v>
      </c>
      <c r="CF97" s="78">
        <f>IF($AU$97="zákl. přenesená",$AG$97,0)</f>
        <v>0</v>
      </c>
      <c r="CG97" s="78">
        <f>IF($AU$97="sníž. přenesená",$AG$97,0)</f>
        <v>0</v>
      </c>
      <c r="CH97" s="78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1"/>
      <c r="D98" s="74" t="s">
        <v>93</v>
      </c>
      <c r="AG98" s="177">
        <f>ROUNDUP($AG$87*$AS$98,2)</f>
        <v>0</v>
      </c>
      <c r="AH98" s="154"/>
      <c r="AI98" s="154"/>
      <c r="AJ98" s="154"/>
      <c r="AK98" s="154"/>
      <c r="AL98" s="154"/>
      <c r="AM98" s="154"/>
      <c r="AN98" s="178">
        <f>ROUNDUP($AG$98+$AV$98,2)</f>
        <v>0</v>
      </c>
      <c r="AO98" s="154"/>
      <c r="AP98" s="154"/>
      <c r="AQ98" s="22"/>
      <c r="AS98" s="79">
        <v>0</v>
      </c>
      <c r="AT98" s="80" t="s">
        <v>85</v>
      </c>
      <c r="AU98" s="80" t="s">
        <v>38</v>
      </c>
      <c r="AV98" s="81">
        <f>ROUNDUP(IF($AU$98="základní",$AG$98*$L$28,IF($AU$98="snížená",$AG$98*$L$29,0)),2)</f>
        <v>0</v>
      </c>
      <c r="BV98" s="6" t="s">
        <v>86</v>
      </c>
      <c r="BY98" s="78">
        <f>IF($AU$98="základní",$AV$98,0)</f>
        <v>0</v>
      </c>
      <c r="BZ98" s="78">
        <f>IF($AU$98="snížená",$AV$98,0)</f>
        <v>0</v>
      </c>
      <c r="CA98" s="78">
        <v>0</v>
      </c>
      <c r="CB98" s="78">
        <v>0</v>
      </c>
      <c r="CC98" s="78">
        <v>0</v>
      </c>
      <c r="CD98" s="78">
        <f>IF($AU$98="základní",$AG$98,0)</f>
        <v>0</v>
      </c>
      <c r="CE98" s="78">
        <f>IF($AU$98="snížená",$AG$98,0)</f>
        <v>0</v>
      </c>
      <c r="CF98" s="78">
        <f>IF($AU$98="zákl. přenesená",$AG$98,0)</f>
        <v>0</v>
      </c>
      <c r="CG98" s="78">
        <f>IF($AU$98="sníž. přenesená",$AG$98,0)</f>
        <v>0</v>
      </c>
      <c r="CH98" s="78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1"/>
      <c r="D99" s="74" t="s">
        <v>94</v>
      </c>
      <c r="AG99" s="177">
        <f>ROUNDUP($AG$87*$AS$99,2)</f>
        <v>0</v>
      </c>
      <c r="AH99" s="154"/>
      <c r="AI99" s="154"/>
      <c r="AJ99" s="154"/>
      <c r="AK99" s="154"/>
      <c r="AL99" s="154"/>
      <c r="AM99" s="154"/>
      <c r="AN99" s="178">
        <f>ROUNDUP($AG$99+$AV$99,2)</f>
        <v>0</v>
      </c>
      <c r="AO99" s="154"/>
      <c r="AP99" s="154"/>
      <c r="AQ99" s="22"/>
      <c r="AS99" s="79">
        <v>0</v>
      </c>
      <c r="AT99" s="80" t="s">
        <v>85</v>
      </c>
      <c r="AU99" s="80" t="s">
        <v>38</v>
      </c>
      <c r="AV99" s="81">
        <f>ROUNDUP(IF($AU$99="základní",$AG$99*$L$28,IF($AU$99="snížená",$AG$99*$L$29,0)),2)</f>
        <v>0</v>
      </c>
      <c r="BV99" s="6" t="s">
        <v>86</v>
      </c>
      <c r="BY99" s="78">
        <f>IF($AU$99="základní",$AV$99,0)</f>
        <v>0</v>
      </c>
      <c r="BZ99" s="78">
        <f>IF($AU$99="snížená",$AV$99,0)</f>
        <v>0</v>
      </c>
      <c r="CA99" s="78">
        <v>0</v>
      </c>
      <c r="CB99" s="78">
        <v>0</v>
      </c>
      <c r="CC99" s="78">
        <v>0</v>
      </c>
      <c r="CD99" s="78">
        <f>IF($AU$99="základní",$AG$99,0)</f>
        <v>0</v>
      </c>
      <c r="CE99" s="78">
        <f>IF($AU$99="snížená",$AG$99,0)</f>
        <v>0</v>
      </c>
      <c r="CF99" s="78">
        <f>IF($AU$99="zákl. přenesená",$AG$99,0)</f>
        <v>0</v>
      </c>
      <c r="CG99" s="78">
        <f>IF($AU$99="sníž. přenesená",$AG$99,0)</f>
        <v>0</v>
      </c>
      <c r="CH99" s="78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1"/>
      <c r="D100" s="74" t="s">
        <v>95</v>
      </c>
      <c r="AG100" s="177">
        <f>ROUNDUP($AG$87*$AS$100,2)</f>
        <v>0</v>
      </c>
      <c r="AH100" s="154"/>
      <c r="AI100" s="154"/>
      <c r="AJ100" s="154"/>
      <c r="AK100" s="154"/>
      <c r="AL100" s="154"/>
      <c r="AM100" s="154"/>
      <c r="AN100" s="178">
        <f>ROUNDUP($AG$100+$AV$100,2)</f>
        <v>0</v>
      </c>
      <c r="AO100" s="154"/>
      <c r="AP100" s="154"/>
      <c r="AQ100" s="22"/>
      <c r="AS100" s="79">
        <v>0</v>
      </c>
      <c r="AT100" s="80" t="s">
        <v>85</v>
      </c>
      <c r="AU100" s="80" t="s">
        <v>38</v>
      </c>
      <c r="AV100" s="81">
        <f>ROUNDUP(IF($AU$100="základní",$AG$100*$L$28,IF($AU$100="snížená",$AG$100*$L$29,0)),2)</f>
        <v>0</v>
      </c>
      <c r="BV100" s="6" t="s">
        <v>86</v>
      </c>
      <c r="BY100" s="78">
        <f>IF($AU$100="základní",$AV$100,0)</f>
        <v>0</v>
      </c>
      <c r="BZ100" s="78">
        <f>IF($AU$100="snížená",$AV$100,0)</f>
        <v>0</v>
      </c>
      <c r="CA100" s="78">
        <v>0</v>
      </c>
      <c r="CB100" s="78">
        <v>0</v>
      </c>
      <c r="CC100" s="78">
        <v>0</v>
      </c>
      <c r="CD100" s="78">
        <f>IF($AU$100="základní",$AG$100,0)</f>
        <v>0</v>
      </c>
      <c r="CE100" s="78">
        <f>IF($AU$100="snížená",$AG$100,0)</f>
        <v>0</v>
      </c>
      <c r="CF100" s="78">
        <f>IF($AU$100="zákl. přenesená",$AG$100,0)</f>
        <v>0</v>
      </c>
      <c r="CG100" s="78">
        <f>IF($AU$100="sníž. přenesená",$AG$100,0)</f>
        <v>0</v>
      </c>
      <c r="CH100" s="78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1"/>
      <c r="D101" s="179" t="s">
        <v>96</v>
      </c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G101" s="177">
        <f>$AG$87*$AS$101</f>
        <v>0</v>
      </c>
      <c r="AH101" s="154"/>
      <c r="AI101" s="154"/>
      <c r="AJ101" s="154"/>
      <c r="AK101" s="154"/>
      <c r="AL101" s="154"/>
      <c r="AM101" s="154"/>
      <c r="AN101" s="178">
        <f>$AG$101+$AV$101</f>
        <v>0</v>
      </c>
      <c r="AO101" s="154"/>
      <c r="AP101" s="154"/>
      <c r="AQ101" s="22"/>
      <c r="AS101" s="79">
        <v>0</v>
      </c>
      <c r="AT101" s="80" t="s">
        <v>85</v>
      </c>
      <c r="AU101" s="80" t="s">
        <v>38</v>
      </c>
      <c r="AV101" s="81">
        <f>ROUNDUP(IF($AU$101="nulová",0,IF(OR($AU$101="základní",$AU$101="zákl. přenesená"),$AG$101*$L$28,$AG$101*$L$29)),1)</f>
        <v>0</v>
      </c>
      <c r="BV101" s="6" t="s">
        <v>97</v>
      </c>
      <c r="BY101" s="78">
        <f>IF($AU$101="základní",$AV$101,0)</f>
        <v>0</v>
      </c>
      <c r="BZ101" s="78">
        <f>IF($AU$101="snížená",$AV$101,0)</f>
        <v>0</v>
      </c>
      <c r="CA101" s="78">
        <f>IF($AU$101="zákl. přenesená",$AV$101,0)</f>
        <v>0</v>
      </c>
      <c r="CB101" s="78">
        <f>IF($AU$101="sníž. přenesená",$AV$101,0)</f>
        <v>0</v>
      </c>
      <c r="CC101" s="78">
        <f>IF($AU$101="nulová",$AV$101,0)</f>
        <v>0</v>
      </c>
      <c r="CD101" s="78">
        <f>IF($AU$101="základní",$AG$101,0)</f>
        <v>0</v>
      </c>
      <c r="CE101" s="78">
        <f>IF($AU$101="snížená",$AG$101,0)</f>
        <v>0</v>
      </c>
      <c r="CF101" s="78">
        <f>IF($AU$101="zákl. přenesená",$AG$101,0)</f>
        <v>0</v>
      </c>
      <c r="CG101" s="78">
        <f>IF($AU$101="sníž. přenesená",$AG$101,0)</f>
        <v>0</v>
      </c>
      <c r="CH101" s="78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1"/>
      <c r="D102" s="179" t="s">
        <v>96</v>
      </c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G102" s="177">
        <f>$AG$87*$AS$102</f>
        <v>0</v>
      </c>
      <c r="AH102" s="154"/>
      <c r="AI102" s="154"/>
      <c r="AJ102" s="154"/>
      <c r="AK102" s="154"/>
      <c r="AL102" s="154"/>
      <c r="AM102" s="154"/>
      <c r="AN102" s="178">
        <f>$AG$102+$AV$102</f>
        <v>0</v>
      </c>
      <c r="AO102" s="154"/>
      <c r="AP102" s="154"/>
      <c r="AQ102" s="22"/>
      <c r="AS102" s="79">
        <v>0</v>
      </c>
      <c r="AT102" s="80" t="s">
        <v>85</v>
      </c>
      <c r="AU102" s="80" t="s">
        <v>38</v>
      </c>
      <c r="AV102" s="81">
        <f>ROUNDUP(IF($AU$102="nulová",0,IF(OR($AU$102="základní",$AU$102="zákl. přenesená"),$AG$102*$L$28,$AG$102*$L$29)),1)</f>
        <v>0</v>
      </c>
      <c r="BV102" s="6" t="s">
        <v>97</v>
      </c>
      <c r="BY102" s="78">
        <f>IF($AU$102="základní",$AV$102,0)</f>
        <v>0</v>
      </c>
      <c r="BZ102" s="78">
        <f>IF($AU$102="snížená",$AV$102,0)</f>
        <v>0</v>
      </c>
      <c r="CA102" s="78">
        <f>IF($AU$102="zákl. přenesená",$AV$102,0)</f>
        <v>0</v>
      </c>
      <c r="CB102" s="78">
        <f>IF($AU$102="sníž. přenesená",$AV$102,0)</f>
        <v>0</v>
      </c>
      <c r="CC102" s="78">
        <f>IF($AU$102="nulová",$AV$102,0)</f>
        <v>0</v>
      </c>
      <c r="CD102" s="78">
        <f>IF($AU$102="základní",$AG$102,0)</f>
        <v>0</v>
      </c>
      <c r="CE102" s="78">
        <f>IF($AU$102="snížená",$AG$102,0)</f>
        <v>0</v>
      </c>
      <c r="CF102" s="78">
        <f>IF($AU$102="zákl. přenesená",$AG$102,0)</f>
        <v>0</v>
      </c>
      <c r="CG102" s="78">
        <f>IF($AU$102="sníž. přenesená",$AG$102,0)</f>
        <v>0</v>
      </c>
      <c r="CH102" s="78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1"/>
      <c r="D103" s="179" t="s">
        <v>96</v>
      </c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G103" s="177">
        <f>$AG$87*$AS$103</f>
        <v>0</v>
      </c>
      <c r="AH103" s="154"/>
      <c r="AI103" s="154"/>
      <c r="AJ103" s="154"/>
      <c r="AK103" s="154"/>
      <c r="AL103" s="154"/>
      <c r="AM103" s="154"/>
      <c r="AN103" s="178">
        <f>$AG$103+$AV$103</f>
        <v>0</v>
      </c>
      <c r="AO103" s="154"/>
      <c r="AP103" s="154"/>
      <c r="AQ103" s="22"/>
      <c r="AS103" s="82">
        <v>0</v>
      </c>
      <c r="AT103" s="83" t="s">
        <v>85</v>
      </c>
      <c r="AU103" s="83" t="s">
        <v>38</v>
      </c>
      <c r="AV103" s="84">
        <f>ROUNDUP(IF($AU$103="nulová",0,IF(OR($AU$103="základní",$AU$103="zákl. přenesená"),$AG$103*$L$28,$AG$103*$L$29)),1)</f>
        <v>0</v>
      </c>
      <c r="BV103" s="6" t="s">
        <v>97</v>
      </c>
      <c r="BY103" s="78">
        <f>IF($AU$103="základní",$AV$103,0)</f>
        <v>0</v>
      </c>
      <c r="BZ103" s="78">
        <f>IF($AU$103="snížená",$AV$103,0)</f>
        <v>0</v>
      </c>
      <c r="CA103" s="78">
        <f>IF($AU$103="zákl. přenesená",$AV$103,0)</f>
        <v>0</v>
      </c>
      <c r="CB103" s="78">
        <f>IF($AU$103="sníž. přenesená",$AV$103,0)</f>
        <v>0</v>
      </c>
      <c r="CC103" s="78">
        <f>IF($AU$103="nulová",$AV$103,0)</f>
        <v>0</v>
      </c>
      <c r="CD103" s="78">
        <f>IF($AU$103="základní",$AG$103,0)</f>
        <v>0</v>
      </c>
      <c r="CE103" s="78">
        <f>IF($AU$103="snížená",$AG$103,0)</f>
        <v>0</v>
      </c>
      <c r="CF103" s="78">
        <f>IF($AU$103="zákl. přenesená",$AG$103,0)</f>
        <v>0</v>
      </c>
      <c r="CG103" s="78">
        <f>IF($AU$103="sníž. přenesená",$AG$103,0)</f>
        <v>0</v>
      </c>
      <c r="CH103" s="78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1"/>
      <c r="AQ104" s="22"/>
    </row>
    <row r="105" spans="2:43" s="6" customFormat="1" ht="30.75" customHeight="1">
      <c r="B105" s="21"/>
      <c r="C105" s="85" t="s">
        <v>98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182">
        <f>ROUNDUP($AG$87+$AG$90,2)</f>
        <v>0</v>
      </c>
      <c r="AH105" s="183"/>
      <c r="AI105" s="183"/>
      <c r="AJ105" s="183"/>
      <c r="AK105" s="183"/>
      <c r="AL105" s="183"/>
      <c r="AM105" s="183"/>
      <c r="AN105" s="182">
        <f>ROUNDUP($AN$87+$AN$90,2)</f>
        <v>0</v>
      </c>
      <c r="AO105" s="183"/>
      <c r="AP105" s="183"/>
      <c r="AQ105" s="22"/>
    </row>
    <row r="106" spans="2:43" s="6" customFormat="1" ht="7.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5"/>
    </row>
  </sheetData>
  <mergeCells count="74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  <mergeCell ref="D101:AB101"/>
    <mergeCell ref="AG101:AM101"/>
    <mergeCell ref="AN101:AP101"/>
    <mergeCell ref="D102:AB102"/>
    <mergeCell ref="AG102:AM102"/>
    <mergeCell ref="AN102:AP102"/>
    <mergeCell ref="AG99:AM99"/>
    <mergeCell ref="AN99:AP99"/>
    <mergeCell ref="AG100:AM100"/>
    <mergeCell ref="AN100:AP100"/>
    <mergeCell ref="AG97:AM97"/>
    <mergeCell ref="AN97:AP97"/>
    <mergeCell ref="AG98:AM98"/>
    <mergeCell ref="AN98:AP98"/>
    <mergeCell ref="AG95:AM95"/>
    <mergeCell ref="AN95:AP95"/>
    <mergeCell ref="AG96:AM96"/>
    <mergeCell ref="AN96:AP96"/>
    <mergeCell ref="AG93:AM93"/>
    <mergeCell ref="AN93:AP93"/>
    <mergeCell ref="AG94:AM94"/>
    <mergeCell ref="AN94:AP94"/>
    <mergeCell ref="AG91:AM91"/>
    <mergeCell ref="AN91:AP91"/>
    <mergeCell ref="AG92:AM92"/>
    <mergeCell ref="AN92:AP92"/>
    <mergeCell ref="AN88:AP88"/>
    <mergeCell ref="AG88:AM88"/>
    <mergeCell ref="D88:H88"/>
    <mergeCell ref="J88:AF88"/>
    <mergeCell ref="C85:G85"/>
    <mergeCell ref="I85:AF85"/>
    <mergeCell ref="AG85:AM85"/>
    <mergeCell ref="AN85:AP85"/>
    <mergeCell ref="C76:AP76"/>
    <mergeCell ref="L78:AO78"/>
    <mergeCell ref="AM82:AP82"/>
    <mergeCell ref="AS82:AT84"/>
    <mergeCell ref="AM83:AP83"/>
    <mergeCell ref="L32:O32"/>
    <mergeCell ref="W32:AE32"/>
    <mergeCell ref="AK32:AO32"/>
    <mergeCell ref="X34:AB34"/>
    <mergeCell ref="AK34:AO34"/>
    <mergeCell ref="L30:O30"/>
    <mergeCell ref="W30:AE30"/>
    <mergeCell ref="AK30:AO30"/>
    <mergeCell ref="L31:O31"/>
    <mergeCell ref="W31:AE31"/>
    <mergeCell ref="AK31:AO31"/>
    <mergeCell ref="AK28:AO28"/>
    <mergeCell ref="L29:O29"/>
    <mergeCell ref="W29:AE29"/>
    <mergeCell ref="AK29:AO29"/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Úsek A - Rekonstrukce arb...'!C2" tooltip="Úsek A - Rekonstrukce arb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7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0"/>
      <c r="B1" s="217"/>
      <c r="C1" s="217"/>
      <c r="D1" s="218" t="s">
        <v>1</v>
      </c>
      <c r="E1" s="217"/>
      <c r="F1" s="219" t="s">
        <v>229</v>
      </c>
      <c r="G1" s="219"/>
      <c r="H1" s="221" t="s">
        <v>230</v>
      </c>
      <c r="I1" s="221"/>
      <c r="J1" s="221"/>
      <c r="K1" s="221"/>
      <c r="L1" s="219" t="s">
        <v>231</v>
      </c>
      <c r="M1" s="217"/>
      <c r="N1" s="217"/>
      <c r="O1" s="218" t="s">
        <v>99</v>
      </c>
      <c r="P1" s="217"/>
      <c r="Q1" s="217"/>
      <c r="R1" s="217"/>
      <c r="S1" s="219" t="s">
        <v>232</v>
      </c>
      <c r="T1" s="219"/>
      <c r="U1" s="220"/>
      <c r="V1" s="22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0" t="s">
        <v>4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S2" s="184" t="s">
        <v>5</v>
      </c>
      <c r="T2" s="151"/>
      <c r="U2" s="151"/>
      <c r="V2" s="151"/>
      <c r="W2" s="151"/>
      <c r="X2" s="151"/>
      <c r="Y2" s="151"/>
      <c r="Z2" s="151"/>
      <c r="AA2" s="151"/>
      <c r="AB2" s="151"/>
      <c r="AC2" s="151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100</v>
      </c>
    </row>
    <row r="4" spans="2:46" s="2" customFormat="1" ht="37.5" customHeight="1">
      <c r="B4" s="10"/>
      <c r="C4" s="152" t="s">
        <v>101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14</v>
      </c>
      <c r="F6" s="185" t="str">
        <f>'Rekapitulace stavby'!$K$6</f>
        <v>1217 - Rekonstrukce arboreta - Povalové chodníky 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R6" s="11"/>
    </row>
    <row r="7" spans="2:18" s="6" customFormat="1" ht="18.75" customHeight="1">
      <c r="B7" s="21"/>
      <c r="D7" s="14" t="s">
        <v>102</v>
      </c>
      <c r="F7" s="156" t="s">
        <v>103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18</v>
      </c>
      <c r="F9" s="16" t="s">
        <v>19</v>
      </c>
      <c r="M9" s="15" t="s">
        <v>20</v>
      </c>
      <c r="O9" s="186" t="str">
        <f>'Rekapitulace stavby'!$AN$8</f>
        <v>29.05.2013</v>
      </c>
      <c r="P9" s="154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24</v>
      </c>
      <c r="M11" s="15" t="s">
        <v>25</v>
      </c>
      <c r="O11" s="167"/>
      <c r="P11" s="154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67"/>
      <c r="P12" s="154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25</v>
      </c>
      <c r="O14" s="187"/>
      <c r="P14" s="154"/>
      <c r="R14" s="22"/>
    </row>
    <row r="15" spans="2:18" s="6" customFormat="1" ht="18.75" customHeight="1">
      <c r="B15" s="21"/>
      <c r="E15" s="187" t="s">
        <v>33</v>
      </c>
      <c r="F15" s="154"/>
      <c r="G15" s="154"/>
      <c r="H15" s="154"/>
      <c r="I15" s="154"/>
      <c r="J15" s="154"/>
      <c r="K15" s="154"/>
      <c r="L15" s="154"/>
      <c r="M15" s="15" t="s">
        <v>27</v>
      </c>
      <c r="O15" s="187"/>
      <c r="P15" s="154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25</v>
      </c>
      <c r="O17" s="167">
        <f>IF('Rekapitulace stavby'!$AN$16="","",'Rekapitulace stavby'!$AN$16)</f>
      </c>
      <c r="P17" s="154"/>
      <c r="R17" s="22"/>
    </row>
    <row r="18" spans="2:18" s="6" customFormat="1" ht="18.75" customHeight="1">
      <c r="B18" s="21"/>
      <c r="E18" s="16" t="str">
        <f>IF('Rekapitulace stavby'!$E$17="","",'Rekapitulace stavby'!$E$17)</f>
        <v> </v>
      </c>
      <c r="M18" s="15" t="s">
        <v>27</v>
      </c>
      <c r="O18" s="167">
        <f>IF('Rekapitulace stavby'!$AN$17="","",'Rekapitulace stavby'!$AN$17)</f>
      </c>
      <c r="P18" s="154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32</v>
      </c>
      <c r="M20" s="15" t="s">
        <v>25</v>
      </c>
      <c r="O20" s="167"/>
      <c r="P20" s="154"/>
      <c r="R20" s="22"/>
    </row>
    <row r="21" spans="2:18" s="6" customFormat="1" ht="18.75" customHeight="1">
      <c r="B21" s="21"/>
      <c r="E21" s="16" t="s">
        <v>33</v>
      </c>
      <c r="M21" s="15" t="s">
        <v>27</v>
      </c>
      <c r="O21" s="167"/>
      <c r="P21" s="154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86" t="s">
        <v>104</v>
      </c>
      <c r="M24" s="158">
        <f>$N$88</f>
        <v>0</v>
      </c>
      <c r="N24" s="154"/>
      <c r="O24" s="154"/>
      <c r="P24" s="154"/>
      <c r="R24" s="22"/>
    </row>
    <row r="25" spans="2:18" s="6" customFormat="1" ht="15" customHeight="1">
      <c r="B25" s="21"/>
      <c r="D25" s="20" t="s">
        <v>91</v>
      </c>
      <c r="M25" s="158">
        <f>$N$101</f>
        <v>0</v>
      </c>
      <c r="N25" s="154"/>
      <c r="O25" s="154"/>
      <c r="P25" s="154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87" t="s">
        <v>36</v>
      </c>
      <c r="M27" s="188">
        <f>ROUNDUP($M$24+$M$25,2)</f>
        <v>0</v>
      </c>
      <c r="N27" s="154"/>
      <c r="O27" s="154"/>
      <c r="P27" s="154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7" t="s">
        <v>37</v>
      </c>
      <c r="E29" s="27" t="s">
        <v>38</v>
      </c>
      <c r="F29" s="88">
        <v>0.21</v>
      </c>
      <c r="G29" s="89" t="s">
        <v>39</v>
      </c>
      <c r="H29" s="189">
        <f>ROUNDUP((((SUM($BE$101:$BE$108)+SUM($BE$126:$BE$170))+SUM($BE$172:$BE$176))),2)</f>
        <v>0</v>
      </c>
      <c r="I29" s="154"/>
      <c r="J29" s="154"/>
      <c r="M29" s="189">
        <f>ROUNDUP((((SUM($BE$101:$BE$108)+SUM($BE$126:$BE$170))*$F$29)+SUM($BE$172:$BE$176)*$F$29),1)</f>
        <v>0</v>
      </c>
      <c r="N29" s="154"/>
      <c r="O29" s="154"/>
      <c r="P29" s="154"/>
      <c r="R29" s="22"/>
    </row>
    <row r="30" spans="2:18" s="6" customFormat="1" ht="15" customHeight="1">
      <c r="B30" s="21"/>
      <c r="E30" s="27" t="s">
        <v>40</v>
      </c>
      <c r="F30" s="88">
        <v>0.15</v>
      </c>
      <c r="G30" s="89" t="s">
        <v>39</v>
      </c>
      <c r="H30" s="189">
        <f>ROUNDUP((((SUM($BF$101:$BF$108)+SUM($BF$126:$BF$170))+SUM($BF$172:$BF$176))),2)</f>
        <v>0</v>
      </c>
      <c r="I30" s="154"/>
      <c r="J30" s="154"/>
      <c r="M30" s="189">
        <f>ROUNDUP((((SUM($BF$101:$BF$108)+SUM($BF$126:$BF$170))*$F$30)+SUM($BF$172:$BF$176)*$F$30),1)</f>
        <v>0</v>
      </c>
      <c r="N30" s="154"/>
      <c r="O30" s="154"/>
      <c r="P30" s="154"/>
      <c r="R30" s="22"/>
    </row>
    <row r="31" spans="2:18" s="6" customFormat="1" ht="15" customHeight="1" hidden="1">
      <c r="B31" s="21"/>
      <c r="E31" s="27" t="s">
        <v>41</v>
      </c>
      <c r="F31" s="88">
        <v>0.21</v>
      </c>
      <c r="G31" s="89" t="s">
        <v>39</v>
      </c>
      <c r="H31" s="189">
        <f>ROUNDUP((((SUM($BG$101:$BG$108)+SUM($BG$126:$BG$170))+SUM($BG$172:$BG$176))),2)</f>
        <v>0</v>
      </c>
      <c r="I31" s="154"/>
      <c r="J31" s="154"/>
      <c r="M31" s="189">
        <v>0</v>
      </c>
      <c r="N31" s="154"/>
      <c r="O31" s="154"/>
      <c r="P31" s="154"/>
      <c r="R31" s="22"/>
    </row>
    <row r="32" spans="2:18" s="6" customFormat="1" ht="15" customHeight="1" hidden="1">
      <c r="B32" s="21"/>
      <c r="E32" s="27" t="s">
        <v>42</v>
      </c>
      <c r="F32" s="88">
        <v>0.15</v>
      </c>
      <c r="G32" s="89" t="s">
        <v>39</v>
      </c>
      <c r="H32" s="189">
        <f>ROUNDUP((((SUM($BH$101:$BH$108)+SUM($BH$126:$BH$170))+SUM($BH$172:$BH$176))),2)</f>
        <v>0</v>
      </c>
      <c r="I32" s="154"/>
      <c r="J32" s="154"/>
      <c r="M32" s="189">
        <v>0</v>
      </c>
      <c r="N32" s="154"/>
      <c r="O32" s="154"/>
      <c r="P32" s="154"/>
      <c r="R32" s="22"/>
    </row>
    <row r="33" spans="2:18" s="6" customFormat="1" ht="15" customHeight="1" hidden="1">
      <c r="B33" s="21"/>
      <c r="E33" s="27" t="s">
        <v>43</v>
      </c>
      <c r="F33" s="88">
        <v>0</v>
      </c>
      <c r="G33" s="89" t="s">
        <v>39</v>
      </c>
      <c r="H33" s="189">
        <f>ROUNDUP((((SUM($BI$101:$BI$108)+SUM($BI$126:$BI$170))+SUM($BI$172:$BI$176))),2)</f>
        <v>0</v>
      </c>
      <c r="I33" s="154"/>
      <c r="J33" s="154"/>
      <c r="M33" s="189">
        <v>0</v>
      </c>
      <c r="N33" s="154"/>
      <c r="O33" s="154"/>
      <c r="P33" s="154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44</v>
      </c>
      <c r="E35" s="32"/>
      <c r="F35" s="32"/>
      <c r="G35" s="90" t="s">
        <v>45</v>
      </c>
      <c r="H35" s="33" t="s">
        <v>46</v>
      </c>
      <c r="I35" s="32"/>
      <c r="J35" s="32"/>
      <c r="K35" s="32"/>
      <c r="L35" s="165">
        <f>ROUNDUP(SUM($M$27:$M$33),2)</f>
        <v>0</v>
      </c>
      <c r="M35" s="164"/>
      <c r="N35" s="164"/>
      <c r="O35" s="164"/>
      <c r="P35" s="166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47</v>
      </c>
      <c r="E50" s="35"/>
      <c r="F50" s="35"/>
      <c r="G50" s="35"/>
      <c r="H50" s="36"/>
      <c r="J50" s="34" t="s">
        <v>48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49</v>
      </c>
      <c r="E59" s="40"/>
      <c r="F59" s="40"/>
      <c r="G59" s="41" t="s">
        <v>50</v>
      </c>
      <c r="H59" s="42"/>
      <c r="J59" s="39" t="s">
        <v>49</v>
      </c>
      <c r="K59" s="40"/>
      <c r="L59" s="40"/>
      <c r="M59" s="40"/>
      <c r="N59" s="41" t="s">
        <v>50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51</v>
      </c>
      <c r="E61" s="35"/>
      <c r="F61" s="35"/>
      <c r="G61" s="35"/>
      <c r="H61" s="36"/>
      <c r="J61" s="34" t="s">
        <v>52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49</v>
      </c>
      <c r="E70" s="40"/>
      <c r="F70" s="40"/>
      <c r="G70" s="41" t="s">
        <v>50</v>
      </c>
      <c r="H70" s="42"/>
      <c r="J70" s="39" t="s">
        <v>49</v>
      </c>
      <c r="K70" s="40"/>
      <c r="L70" s="40"/>
      <c r="M70" s="40"/>
      <c r="N70" s="41" t="s">
        <v>50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52" t="s">
        <v>105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85" t="str">
        <f>$F$6</f>
        <v>1217 - Rekonstrukce arboreta - Povalové chodníky </v>
      </c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R78" s="22"/>
    </row>
    <row r="79" spans="2:18" s="6" customFormat="1" ht="15" customHeight="1">
      <c r="B79" s="21"/>
      <c r="C79" s="14" t="s">
        <v>102</v>
      </c>
      <c r="F79" s="156" t="str">
        <f>$F$7</f>
        <v>Úsek A - Rekonstrukce arboreta - Povalové chodníky </v>
      </c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18</v>
      </c>
      <c r="F81" s="16" t="str">
        <f>$F$9</f>
        <v> </v>
      </c>
      <c r="K81" s="15" t="s">
        <v>20</v>
      </c>
      <c r="M81" s="190" t="str">
        <f>IF($O$9="","",$O$9)</f>
        <v>29.05.2013</v>
      </c>
      <c r="N81" s="154"/>
      <c r="O81" s="154"/>
      <c r="P81" s="154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24</v>
      </c>
      <c r="F83" s="16" t="str">
        <f>$E$12</f>
        <v>Město Zákupy</v>
      </c>
      <c r="K83" s="15" t="s">
        <v>30</v>
      </c>
      <c r="M83" s="167" t="str">
        <f>$E$18</f>
        <v> </v>
      </c>
      <c r="N83" s="154"/>
      <c r="O83" s="154"/>
      <c r="P83" s="154"/>
      <c r="Q83" s="154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Ing. Hybášek</v>
      </c>
      <c r="K84" s="15" t="s">
        <v>32</v>
      </c>
      <c r="M84" s="167" t="str">
        <f>$E$21</f>
        <v>Ing. Hybášek</v>
      </c>
      <c r="N84" s="154"/>
      <c r="O84" s="154"/>
      <c r="P84" s="154"/>
      <c r="Q84" s="154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91" t="s">
        <v>106</v>
      </c>
      <c r="D86" s="183"/>
      <c r="E86" s="183"/>
      <c r="F86" s="183"/>
      <c r="G86" s="183"/>
      <c r="H86" s="30"/>
      <c r="I86" s="30"/>
      <c r="J86" s="30"/>
      <c r="K86" s="30"/>
      <c r="L86" s="30"/>
      <c r="M86" s="30"/>
      <c r="N86" s="191" t="s">
        <v>107</v>
      </c>
      <c r="O86" s="154"/>
      <c r="P86" s="154"/>
      <c r="Q86" s="154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0" t="s">
        <v>108</v>
      </c>
      <c r="N88" s="180">
        <f>ROUNDUP($N$126,2)</f>
        <v>0</v>
      </c>
      <c r="O88" s="154"/>
      <c r="P88" s="154"/>
      <c r="Q88" s="154"/>
      <c r="R88" s="22"/>
      <c r="AU88" s="6" t="s">
        <v>109</v>
      </c>
    </row>
    <row r="89" spans="2:18" s="65" customFormat="1" ht="25.5" customHeight="1">
      <c r="B89" s="91"/>
      <c r="D89" s="92" t="s">
        <v>110</v>
      </c>
      <c r="N89" s="192">
        <f>ROUNDUP($N$127,2)</f>
        <v>0</v>
      </c>
      <c r="O89" s="193"/>
      <c r="P89" s="193"/>
      <c r="Q89" s="193"/>
      <c r="R89" s="93"/>
    </row>
    <row r="90" spans="2:18" s="86" customFormat="1" ht="21" customHeight="1">
      <c r="B90" s="94"/>
      <c r="D90" s="74" t="s">
        <v>111</v>
      </c>
      <c r="N90" s="178">
        <f>ROUNDUP($N$128,2)</f>
        <v>0</v>
      </c>
      <c r="O90" s="193"/>
      <c r="P90" s="193"/>
      <c r="Q90" s="193"/>
      <c r="R90" s="95"/>
    </row>
    <row r="91" spans="2:18" s="86" customFormat="1" ht="21" customHeight="1">
      <c r="B91" s="94"/>
      <c r="D91" s="74" t="s">
        <v>112</v>
      </c>
      <c r="N91" s="178">
        <f>ROUNDUP($N$145,2)</f>
        <v>0</v>
      </c>
      <c r="O91" s="193"/>
      <c r="P91" s="193"/>
      <c r="Q91" s="193"/>
      <c r="R91" s="95"/>
    </row>
    <row r="92" spans="2:18" s="86" customFormat="1" ht="21" customHeight="1">
      <c r="B92" s="94"/>
      <c r="D92" s="74" t="s">
        <v>113</v>
      </c>
      <c r="N92" s="178">
        <f>ROUNDUP($N$148,2)</f>
        <v>0</v>
      </c>
      <c r="O92" s="193"/>
      <c r="P92" s="193"/>
      <c r="Q92" s="193"/>
      <c r="R92" s="95"/>
    </row>
    <row r="93" spans="2:18" s="86" customFormat="1" ht="21" customHeight="1">
      <c r="B93" s="94"/>
      <c r="D93" s="74" t="s">
        <v>114</v>
      </c>
      <c r="N93" s="178">
        <f>ROUNDUP($N$151,2)</f>
        <v>0</v>
      </c>
      <c r="O93" s="193"/>
      <c r="P93" s="193"/>
      <c r="Q93" s="193"/>
      <c r="R93" s="95"/>
    </row>
    <row r="94" spans="2:18" s="86" customFormat="1" ht="15.75" customHeight="1">
      <c r="B94" s="94"/>
      <c r="D94" s="74" t="s">
        <v>115</v>
      </c>
      <c r="N94" s="178">
        <f>ROUNDUP($N$157,2)</f>
        <v>0</v>
      </c>
      <c r="O94" s="193"/>
      <c r="P94" s="193"/>
      <c r="Q94" s="193"/>
      <c r="R94" s="95"/>
    </row>
    <row r="95" spans="2:18" s="65" customFormat="1" ht="25.5" customHeight="1">
      <c r="B95" s="91"/>
      <c r="D95" s="92" t="s">
        <v>116</v>
      </c>
      <c r="N95" s="192">
        <f>ROUNDUP($N$159,2)</f>
        <v>0</v>
      </c>
      <c r="O95" s="193"/>
      <c r="P95" s="193"/>
      <c r="Q95" s="193"/>
      <c r="R95" s="93"/>
    </row>
    <row r="96" spans="2:18" s="86" customFormat="1" ht="21" customHeight="1">
      <c r="B96" s="94"/>
      <c r="D96" s="74" t="s">
        <v>117</v>
      </c>
      <c r="N96" s="178">
        <f>ROUNDUP($N$160,2)</f>
        <v>0</v>
      </c>
      <c r="O96" s="193"/>
      <c r="P96" s="193"/>
      <c r="Q96" s="193"/>
      <c r="R96" s="95"/>
    </row>
    <row r="97" spans="2:18" s="86" customFormat="1" ht="21" customHeight="1">
      <c r="B97" s="94"/>
      <c r="D97" s="74" t="s">
        <v>118</v>
      </c>
      <c r="N97" s="178">
        <f>ROUNDUP($N$163,2)</f>
        <v>0</v>
      </c>
      <c r="O97" s="193"/>
      <c r="P97" s="193"/>
      <c r="Q97" s="193"/>
      <c r="R97" s="95"/>
    </row>
    <row r="98" spans="2:18" s="86" customFormat="1" ht="21" customHeight="1">
      <c r="B98" s="94"/>
      <c r="D98" s="74" t="s">
        <v>119</v>
      </c>
      <c r="N98" s="178">
        <f>ROUNDUP($N$168,2)</f>
        <v>0</v>
      </c>
      <c r="O98" s="193"/>
      <c r="P98" s="193"/>
      <c r="Q98" s="193"/>
      <c r="R98" s="95"/>
    </row>
    <row r="99" spans="2:18" s="65" customFormat="1" ht="22.5" customHeight="1">
      <c r="B99" s="91"/>
      <c r="D99" s="92" t="s">
        <v>120</v>
      </c>
      <c r="N99" s="194">
        <f>$N$171</f>
        <v>0</v>
      </c>
      <c r="O99" s="193"/>
      <c r="P99" s="193"/>
      <c r="Q99" s="193"/>
      <c r="R99" s="93"/>
    </row>
    <row r="100" spans="2:18" s="6" customFormat="1" ht="22.5" customHeight="1">
      <c r="B100" s="21"/>
      <c r="R100" s="22"/>
    </row>
    <row r="101" spans="2:21" s="6" customFormat="1" ht="30" customHeight="1">
      <c r="B101" s="21"/>
      <c r="C101" s="60" t="s">
        <v>121</v>
      </c>
      <c r="N101" s="180">
        <f>ROUNDUP($N$102+$N$103+$N$104+$N$105+$N$106+$N$107,2)</f>
        <v>0</v>
      </c>
      <c r="O101" s="154"/>
      <c r="P101" s="154"/>
      <c r="Q101" s="154"/>
      <c r="R101" s="22"/>
      <c r="T101" s="96"/>
      <c r="U101" s="97" t="s">
        <v>37</v>
      </c>
    </row>
    <row r="102" spans="2:62" s="6" customFormat="1" ht="18.75" customHeight="1">
      <c r="B102" s="21"/>
      <c r="D102" s="179" t="s">
        <v>122</v>
      </c>
      <c r="E102" s="154"/>
      <c r="F102" s="154"/>
      <c r="G102" s="154"/>
      <c r="H102" s="154"/>
      <c r="N102" s="177">
        <f>ROUNDUP($N$88*$T$102,2)</f>
        <v>0</v>
      </c>
      <c r="O102" s="154"/>
      <c r="P102" s="154"/>
      <c r="Q102" s="154"/>
      <c r="R102" s="22"/>
      <c r="T102" s="98"/>
      <c r="U102" s="99" t="s">
        <v>38</v>
      </c>
      <c r="AY102" s="6" t="s">
        <v>123</v>
      </c>
      <c r="BE102" s="78">
        <f>IF($U$102="základní",$N$102,0)</f>
        <v>0</v>
      </c>
      <c r="BF102" s="78">
        <f>IF($U$102="snížená",$N$102,0)</f>
        <v>0</v>
      </c>
      <c r="BG102" s="78">
        <f>IF($U$102="zákl. přenesená",$N$102,0)</f>
        <v>0</v>
      </c>
      <c r="BH102" s="78">
        <f>IF($U$102="sníž. přenesená",$N$102,0)</f>
        <v>0</v>
      </c>
      <c r="BI102" s="78">
        <f>IF($U$102="nulová",$N$102,0)</f>
        <v>0</v>
      </c>
      <c r="BJ102" s="6" t="s">
        <v>17</v>
      </c>
    </row>
    <row r="103" spans="2:62" s="6" customFormat="1" ht="18.75" customHeight="1">
      <c r="B103" s="21"/>
      <c r="D103" s="179" t="s">
        <v>124</v>
      </c>
      <c r="E103" s="154"/>
      <c r="F103" s="154"/>
      <c r="G103" s="154"/>
      <c r="H103" s="154"/>
      <c r="N103" s="177">
        <f>ROUNDUP($N$88*$T$103,2)</f>
        <v>0</v>
      </c>
      <c r="O103" s="154"/>
      <c r="P103" s="154"/>
      <c r="Q103" s="154"/>
      <c r="R103" s="22"/>
      <c r="T103" s="98"/>
      <c r="U103" s="99" t="s">
        <v>38</v>
      </c>
      <c r="AY103" s="6" t="s">
        <v>123</v>
      </c>
      <c r="BE103" s="78">
        <f>IF($U$103="základní",$N$103,0)</f>
        <v>0</v>
      </c>
      <c r="BF103" s="78">
        <f>IF($U$103="snížená",$N$103,0)</f>
        <v>0</v>
      </c>
      <c r="BG103" s="78">
        <f>IF($U$103="zákl. přenesená",$N$103,0)</f>
        <v>0</v>
      </c>
      <c r="BH103" s="78">
        <f>IF($U$103="sníž. přenesená",$N$103,0)</f>
        <v>0</v>
      </c>
      <c r="BI103" s="78">
        <f>IF($U$103="nulová",$N$103,0)</f>
        <v>0</v>
      </c>
      <c r="BJ103" s="6" t="s">
        <v>17</v>
      </c>
    </row>
    <row r="104" spans="2:62" s="6" customFormat="1" ht="18.75" customHeight="1">
      <c r="B104" s="21"/>
      <c r="D104" s="179" t="s">
        <v>125</v>
      </c>
      <c r="E104" s="154"/>
      <c r="F104" s="154"/>
      <c r="G104" s="154"/>
      <c r="H104" s="154"/>
      <c r="N104" s="177">
        <f>ROUNDUP($N$88*$T$104,2)</f>
        <v>0</v>
      </c>
      <c r="O104" s="154"/>
      <c r="P104" s="154"/>
      <c r="Q104" s="154"/>
      <c r="R104" s="22"/>
      <c r="T104" s="98"/>
      <c r="U104" s="99" t="s">
        <v>38</v>
      </c>
      <c r="AY104" s="6" t="s">
        <v>123</v>
      </c>
      <c r="BE104" s="78">
        <f>IF($U$104="základní",$N$104,0)</f>
        <v>0</v>
      </c>
      <c r="BF104" s="78">
        <f>IF($U$104="snížená",$N$104,0)</f>
        <v>0</v>
      </c>
      <c r="BG104" s="78">
        <f>IF($U$104="zákl. přenesená",$N$104,0)</f>
        <v>0</v>
      </c>
      <c r="BH104" s="78">
        <f>IF($U$104="sníž. přenesená",$N$104,0)</f>
        <v>0</v>
      </c>
      <c r="BI104" s="78">
        <f>IF($U$104="nulová",$N$104,0)</f>
        <v>0</v>
      </c>
      <c r="BJ104" s="6" t="s">
        <v>17</v>
      </c>
    </row>
    <row r="105" spans="2:62" s="6" customFormat="1" ht="18.75" customHeight="1">
      <c r="B105" s="21"/>
      <c r="D105" s="179" t="s">
        <v>126</v>
      </c>
      <c r="E105" s="154"/>
      <c r="F105" s="154"/>
      <c r="G105" s="154"/>
      <c r="H105" s="154"/>
      <c r="N105" s="177">
        <f>ROUNDUP($N$88*$T$105,2)</f>
        <v>0</v>
      </c>
      <c r="O105" s="154"/>
      <c r="P105" s="154"/>
      <c r="Q105" s="154"/>
      <c r="R105" s="22"/>
      <c r="T105" s="98"/>
      <c r="U105" s="99" t="s">
        <v>38</v>
      </c>
      <c r="AY105" s="6" t="s">
        <v>123</v>
      </c>
      <c r="BE105" s="78">
        <f>IF($U$105="základní",$N$105,0)</f>
        <v>0</v>
      </c>
      <c r="BF105" s="78">
        <f>IF($U$105="snížená",$N$105,0)</f>
        <v>0</v>
      </c>
      <c r="BG105" s="78">
        <f>IF($U$105="zákl. přenesená",$N$105,0)</f>
        <v>0</v>
      </c>
      <c r="BH105" s="78">
        <f>IF($U$105="sníž. přenesená",$N$105,0)</f>
        <v>0</v>
      </c>
      <c r="BI105" s="78">
        <f>IF($U$105="nulová",$N$105,0)</f>
        <v>0</v>
      </c>
      <c r="BJ105" s="6" t="s">
        <v>17</v>
      </c>
    </row>
    <row r="106" spans="2:62" s="6" customFormat="1" ht="18.75" customHeight="1">
      <c r="B106" s="21"/>
      <c r="D106" s="179" t="s">
        <v>127</v>
      </c>
      <c r="E106" s="154"/>
      <c r="F106" s="154"/>
      <c r="G106" s="154"/>
      <c r="H106" s="154"/>
      <c r="N106" s="177">
        <f>ROUNDUP($N$88*$T$106,2)</f>
        <v>0</v>
      </c>
      <c r="O106" s="154"/>
      <c r="P106" s="154"/>
      <c r="Q106" s="154"/>
      <c r="R106" s="22"/>
      <c r="T106" s="98"/>
      <c r="U106" s="99" t="s">
        <v>38</v>
      </c>
      <c r="AY106" s="6" t="s">
        <v>123</v>
      </c>
      <c r="BE106" s="78">
        <f>IF($U$106="základní",$N$106,0)</f>
        <v>0</v>
      </c>
      <c r="BF106" s="78">
        <f>IF($U$106="snížená",$N$106,0)</f>
        <v>0</v>
      </c>
      <c r="BG106" s="78">
        <f>IF($U$106="zákl. přenesená",$N$106,0)</f>
        <v>0</v>
      </c>
      <c r="BH106" s="78">
        <f>IF($U$106="sníž. přenesená",$N$106,0)</f>
        <v>0</v>
      </c>
      <c r="BI106" s="78">
        <f>IF($U$106="nulová",$N$106,0)</f>
        <v>0</v>
      </c>
      <c r="BJ106" s="6" t="s">
        <v>17</v>
      </c>
    </row>
    <row r="107" spans="2:62" s="6" customFormat="1" ht="18.75" customHeight="1">
      <c r="B107" s="21"/>
      <c r="D107" s="74" t="s">
        <v>128</v>
      </c>
      <c r="N107" s="177">
        <f>ROUNDUP($N$88*$T$107,2)</f>
        <v>0</v>
      </c>
      <c r="O107" s="154"/>
      <c r="P107" s="154"/>
      <c r="Q107" s="154"/>
      <c r="R107" s="22"/>
      <c r="T107" s="100"/>
      <c r="U107" s="101" t="s">
        <v>38</v>
      </c>
      <c r="AY107" s="6" t="s">
        <v>129</v>
      </c>
      <c r="BE107" s="78">
        <f>IF($U$107="základní",$N$107,0)</f>
        <v>0</v>
      </c>
      <c r="BF107" s="78">
        <f>IF($U$107="snížená",$N$107,0)</f>
        <v>0</v>
      </c>
      <c r="BG107" s="78">
        <f>IF($U$107="zákl. přenesená",$N$107,0)</f>
        <v>0</v>
      </c>
      <c r="BH107" s="78">
        <f>IF($U$107="sníž. přenesená",$N$107,0)</f>
        <v>0</v>
      </c>
      <c r="BI107" s="78">
        <f>IF($U$107="nulová",$N$107,0)</f>
        <v>0</v>
      </c>
      <c r="BJ107" s="6" t="s">
        <v>17</v>
      </c>
    </row>
    <row r="108" spans="2:18" s="6" customFormat="1" ht="14.25" customHeight="1">
      <c r="B108" s="21"/>
      <c r="R108" s="22"/>
    </row>
    <row r="109" spans="2:18" s="6" customFormat="1" ht="30" customHeight="1">
      <c r="B109" s="21"/>
      <c r="C109" s="85" t="s">
        <v>98</v>
      </c>
      <c r="D109" s="30"/>
      <c r="E109" s="30"/>
      <c r="F109" s="30"/>
      <c r="G109" s="30"/>
      <c r="H109" s="30"/>
      <c r="I109" s="30"/>
      <c r="J109" s="30"/>
      <c r="K109" s="30"/>
      <c r="L109" s="182">
        <f>ROUNDUP(SUM($N$88+$N$101),2)</f>
        <v>0</v>
      </c>
      <c r="M109" s="183"/>
      <c r="N109" s="183"/>
      <c r="O109" s="183"/>
      <c r="P109" s="183"/>
      <c r="Q109" s="183"/>
      <c r="R109" s="22"/>
    </row>
    <row r="110" spans="2:18" s="6" customFormat="1" ht="7.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5"/>
    </row>
    <row r="114" spans="2:18" s="6" customFormat="1" ht="7.5" customHeight="1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</row>
    <row r="115" spans="2:18" s="6" customFormat="1" ht="37.5" customHeight="1">
      <c r="B115" s="21"/>
      <c r="C115" s="152" t="s">
        <v>130</v>
      </c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22"/>
    </row>
    <row r="116" spans="2:18" s="6" customFormat="1" ht="7.5" customHeight="1">
      <c r="B116" s="21"/>
      <c r="R116" s="22"/>
    </row>
    <row r="117" spans="2:18" s="6" customFormat="1" ht="15" customHeight="1">
      <c r="B117" s="21"/>
      <c r="C117" s="15" t="s">
        <v>14</v>
      </c>
      <c r="F117" s="185" t="str">
        <f>$F$6</f>
        <v>1217 - Rekonstrukce arboreta - Povalové chodníky </v>
      </c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R117" s="22"/>
    </row>
    <row r="118" spans="2:18" s="6" customFormat="1" ht="15" customHeight="1">
      <c r="B118" s="21"/>
      <c r="C118" s="14" t="s">
        <v>102</v>
      </c>
      <c r="F118" s="156" t="str">
        <f>$F$7</f>
        <v>Úsek A - Rekonstrukce arboreta - Povalové chodníky </v>
      </c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R118" s="22"/>
    </row>
    <row r="119" spans="2:18" s="6" customFormat="1" ht="7.5" customHeight="1">
      <c r="B119" s="21"/>
      <c r="R119" s="22"/>
    </row>
    <row r="120" spans="2:18" s="6" customFormat="1" ht="18.75" customHeight="1">
      <c r="B120" s="21"/>
      <c r="C120" s="15" t="s">
        <v>18</v>
      </c>
      <c r="F120" s="16" t="str">
        <f>$F$9</f>
        <v> </v>
      </c>
      <c r="K120" s="15" t="s">
        <v>20</v>
      </c>
      <c r="M120" s="190" t="str">
        <f>IF($O$9="","",$O$9)</f>
        <v>29.05.2013</v>
      </c>
      <c r="N120" s="154"/>
      <c r="O120" s="154"/>
      <c r="P120" s="154"/>
      <c r="R120" s="22"/>
    </row>
    <row r="121" spans="2:18" s="6" customFormat="1" ht="7.5" customHeight="1">
      <c r="B121" s="21"/>
      <c r="R121" s="22"/>
    </row>
    <row r="122" spans="2:18" s="6" customFormat="1" ht="15.75" customHeight="1">
      <c r="B122" s="21"/>
      <c r="C122" s="15" t="s">
        <v>24</v>
      </c>
      <c r="F122" s="16" t="str">
        <f>$E$12</f>
        <v>Město Zákupy</v>
      </c>
      <c r="K122" s="15" t="s">
        <v>30</v>
      </c>
      <c r="M122" s="167" t="str">
        <f>$E$18</f>
        <v> </v>
      </c>
      <c r="N122" s="154"/>
      <c r="O122" s="154"/>
      <c r="P122" s="154"/>
      <c r="Q122" s="154"/>
      <c r="R122" s="22"/>
    </row>
    <row r="123" spans="2:18" s="6" customFormat="1" ht="15" customHeight="1">
      <c r="B123" s="21"/>
      <c r="C123" s="15" t="s">
        <v>28</v>
      </c>
      <c r="F123" s="16" t="str">
        <f>IF($E$15="","",$E$15)</f>
        <v>Ing. Hybášek</v>
      </c>
      <c r="K123" s="15" t="s">
        <v>32</v>
      </c>
      <c r="M123" s="167" t="str">
        <f>$E$21</f>
        <v>Ing. Hybášek</v>
      </c>
      <c r="N123" s="154"/>
      <c r="O123" s="154"/>
      <c r="P123" s="154"/>
      <c r="Q123" s="154"/>
      <c r="R123" s="22"/>
    </row>
    <row r="124" spans="2:18" s="6" customFormat="1" ht="11.25" customHeight="1">
      <c r="B124" s="21"/>
      <c r="R124" s="22"/>
    </row>
    <row r="125" spans="2:27" s="102" customFormat="1" ht="30" customHeight="1">
      <c r="B125" s="103"/>
      <c r="C125" s="104" t="s">
        <v>131</v>
      </c>
      <c r="D125" s="105" t="s">
        <v>132</v>
      </c>
      <c r="E125" s="105" t="s">
        <v>55</v>
      </c>
      <c r="F125" s="195" t="s">
        <v>133</v>
      </c>
      <c r="G125" s="196"/>
      <c r="H125" s="196"/>
      <c r="I125" s="196"/>
      <c r="J125" s="105" t="s">
        <v>134</v>
      </c>
      <c r="K125" s="105" t="s">
        <v>135</v>
      </c>
      <c r="L125" s="195" t="s">
        <v>136</v>
      </c>
      <c r="M125" s="196"/>
      <c r="N125" s="195" t="s">
        <v>137</v>
      </c>
      <c r="O125" s="196"/>
      <c r="P125" s="196"/>
      <c r="Q125" s="197"/>
      <c r="R125" s="106"/>
      <c r="T125" s="55" t="s">
        <v>138</v>
      </c>
      <c r="U125" s="56" t="s">
        <v>37</v>
      </c>
      <c r="V125" s="56" t="s">
        <v>139</v>
      </c>
      <c r="W125" s="56" t="s">
        <v>140</v>
      </c>
      <c r="X125" s="56" t="s">
        <v>141</v>
      </c>
      <c r="Y125" s="56" t="s">
        <v>142</v>
      </c>
      <c r="Z125" s="56" t="s">
        <v>143</v>
      </c>
      <c r="AA125" s="57" t="s">
        <v>144</v>
      </c>
    </row>
    <row r="126" spans="2:63" s="6" customFormat="1" ht="30" customHeight="1">
      <c r="B126" s="21"/>
      <c r="C126" s="60" t="s">
        <v>104</v>
      </c>
      <c r="N126" s="212">
        <f>$BK$126</f>
        <v>0</v>
      </c>
      <c r="O126" s="154"/>
      <c r="P126" s="154"/>
      <c r="Q126" s="154"/>
      <c r="R126" s="22"/>
      <c r="T126" s="59"/>
      <c r="U126" s="35"/>
      <c r="V126" s="35"/>
      <c r="W126" s="107">
        <f>$W$127+$W$159+$W$171</f>
        <v>875.5160569999998</v>
      </c>
      <c r="X126" s="35"/>
      <c r="Y126" s="107">
        <f>$Y$127+$Y$159+$Y$171</f>
        <v>66.36691788</v>
      </c>
      <c r="Z126" s="35"/>
      <c r="AA126" s="108">
        <f>$AA$127+$AA$159+$AA$171</f>
        <v>0</v>
      </c>
      <c r="AT126" s="6" t="s">
        <v>72</v>
      </c>
      <c r="AU126" s="6" t="s">
        <v>109</v>
      </c>
      <c r="BK126" s="109">
        <f>$BK$127+$BK$159+$BK$171</f>
        <v>0</v>
      </c>
    </row>
    <row r="127" spans="2:63" s="110" customFormat="1" ht="37.5" customHeight="1">
      <c r="B127" s="111"/>
      <c r="D127" s="112" t="s">
        <v>110</v>
      </c>
      <c r="N127" s="194">
        <f>$BK$127</f>
        <v>0</v>
      </c>
      <c r="O127" s="213"/>
      <c r="P127" s="213"/>
      <c r="Q127" s="213"/>
      <c r="R127" s="114"/>
      <c r="T127" s="115"/>
      <c r="W127" s="116">
        <f>$W$128+$W$145+$W$148+$W$151</f>
        <v>488.5593849999999</v>
      </c>
      <c r="Y127" s="116">
        <f>$Y$128+$Y$145+$Y$148+$Y$151</f>
        <v>63.796589</v>
      </c>
      <c r="AA127" s="117">
        <f>$AA$128+$AA$145+$AA$148+$AA$151</f>
        <v>0</v>
      </c>
      <c r="AR127" s="113" t="s">
        <v>17</v>
      </c>
      <c r="AT127" s="113" t="s">
        <v>72</v>
      </c>
      <c r="AU127" s="113" t="s">
        <v>73</v>
      </c>
      <c r="AY127" s="113" t="s">
        <v>145</v>
      </c>
      <c r="BK127" s="118">
        <f>$BK$128+$BK$145+$BK$148+$BK$151</f>
        <v>0</v>
      </c>
    </row>
    <row r="128" spans="2:63" s="110" customFormat="1" ht="21" customHeight="1">
      <c r="B128" s="111"/>
      <c r="D128" s="119" t="s">
        <v>111</v>
      </c>
      <c r="N128" s="214">
        <f>$BK$128</f>
        <v>0</v>
      </c>
      <c r="O128" s="213"/>
      <c r="P128" s="213"/>
      <c r="Q128" s="213"/>
      <c r="R128" s="114"/>
      <c r="T128" s="115"/>
      <c r="W128" s="116">
        <f>SUM($W$129:$W$144)</f>
        <v>418.47119999999995</v>
      </c>
      <c r="Y128" s="116">
        <f>SUM($Y$129:$Y$144)</f>
        <v>0.014744</v>
      </c>
      <c r="AA128" s="117">
        <f>SUM($AA$129:$AA$144)</f>
        <v>0</v>
      </c>
      <c r="AR128" s="113" t="s">
        <v>17</v>
      </c>
      <c r="AT128" s="113" t="s">
        <v>72</v>
      </c>
      <c r="AU128" s="113" t="s">
        <v>17</v>
      </c>
      <c r="AY128" s="113" t="s">
        <v>145</v>
      </c>
      <c r="BK128" s="118">
        <f>SUM($BK$129:$BK$144)</f>
        <v>0</v>
      </c>
    </row>
    <row r="129" spans="2:64" s="6" customFormat="1" ht="27" customHeight="1">
      <c r="B129" s="21"/>
      <c r="C129" s="120" t="s">
        <v>17</v>
      </c>
      <c r="D129" s="120" t="s">
        <v>146</v>
      </c>
      <c r="E129" s="121" t="s">
        <v>147</v>
      </c>
      <c r="F129" s="198" t="s">
        <v>148</v>
      </c>
      <c r="G129" s="199"/>
      <c r="H129" s="199"/>
      <c r="I129" s="199"/>
      <c r="J129" s="122" t="s">
        <v>149</v>
      </c>
      <c r="K129" s="123">
        <v>189.6</v>
      </c>
      <c r="L129" s="200">
        <v>0</v>
      </c>
      <c r="M129" s="199"/>
      <c r="N129" s="201">
        <f>ROUND($L$129*$K$129,2)</f>
        <v>0</v>
      </c>
      <c r="O129" s="199"/>
      <c r="P129" s="199"/>
      <c r="Q129" s="199"/>
      <c r="R129" s="22"/>
      <c r="T129" s="124"/>
      <c r="U129" s="125" t="s">
        <v>38</v>
      </c>
      <c r="V129" s="126">
        <v>0.525</v>
      </c>
      <c r="W129" s="126">
        <f>$V$129*$K$129</f>
        <v>99.54</v>
      </c>
      <c r="X129" s="126">
        <v>0</v>
      </c>
      <c r="Y129" s="126">
        <f>$X$129*$K$129</f>
        <v>0</v>
      </c>
      <c r="Z129" s="126">
        <v>0</v>
      </c>
      <c r="AA129" s="127">
        <f>$Z$129*$K$129</f>
        <v>0</v>
      </c>
      <c r="AR129" s="6" t="s">
        <v>150</v>
      </c>
      <c r="AT129" s="6" t="s">
        <v>146</v>
      </c>
      <c r="AU129" s="6" t="s">
        <v>100</v>
      </c>
      <c r="AY129" s="6" t="s">
        <v>145</v>
      </c>
      <c r="BE129" s="78">
        <f>IF($U$129="základní",$N$129,0)</f>
        <v>0</v>
      </c>
      <c r="BF129" s="78">
        <f>IF($U$129="snížená",$N$129,0)</f>
        <v>0</v>
      </c>
      <c r="BG129" s="78">
        <f>IF($U$129="zákl. přenesená",$N$129,0)</f>
        <v>0</v>
      </c>
      <c r="BH129" s="78">
        <f>IF($U$129="sníž. přenesená",$N$129,0)</f>
        <v>0</v>
      </c>
      <c r="BI129" s="78">
        <f>IF($U$129="nulová",$N$129,0)</f>
        <v>0</v>
      </c>
      <c r="BJ129" s="6" t="s">
        <v>17</v>
      </c>
      <c r="BK129" s="78">
        <f>ROUND($L$129*$K$129,2)</f>
        <v>0</v>
      </c>
      <c r="BL129" s="6" t="s">
        <v>150</v>
      </c>
    </row>
    <row r="130" spans="2:51" s="6" customFormat="1" ht="15.75" customHeight="1">
      <c r="B130" s="128"/>
      <c r="E130" s="129"/>
      <c r="F130" s="202" t="s">
        <v>151</v>
      </c>
      <c r="G130" s="203"/>
      <c r="H130" s="203"/>
      <c r="I130" s="203"/>
      <c r="K130" s="130">
        <v>189.6</v>
      </c>
      <c r="R130" s="131"/>
      <c r="T130" s="132"/>
      <c r="AA130" s="133"/>
      <c r="AT130" s="129" t="s">
        <v>152</v>
      </c>
      <c r="AU130" s="129" t="s">
        <v>100</v>
      </c>
      <c r="AV130" s="134" t="s">
        <v>100</v>
      </c>
      <c r="AW130" s="134" t="s">
        <v>109</v>
      </c>
      <c r="AX130" s="134" t="s">
        <v>73</v>
      </c>
      <c r="AY130" s="129" t="s">
        <v>145</v>
      </c>
    </row>
    <row r="131" spans="2:64" s="6" customFormat="1" ht="27" customHeight="1">
      <c r="B131" s="21"/>
      <c r="C131" s="120" t="s">
        <v>100</v>
      </c>
      <c r="D131" s="120" t="s">
        <v>146</v>
      </c>
      <c r="E131" s="121" t="s">
        <v>153</v>
      </c>
      <c r="F131" s="198" t="s">
        <v>154</v>
      </c>
      <c r="G131" s="199"/>
      <c r="H131" s="199"/>
      <c r="I131" s="199"/>
      <c r="J131" s="122" t="s">
        <v>149</v>
      </c>
      <c r="K131" s="123">
        <v>189.6</v>
      </c>
      <c r="L131" s="200">
        <v>0</v>
      </c>
      <c r="M131" s="199"/>
      <c r="N131" s="201">
        <f>ROUND($L$131*$K$131,2)</f>
        <v>0</v>
      </c>
      <c r="O131" s="199"/>
      <c r="P131" s="199"/>
      <c r="Q131" s="199"/>
      <c r="R131" s="22"/>
      <c r="T131" s="124"/>
      <c r="U131" s="125" t="s">
        <v>38</v>
      </c>
      <c r="V131" s="126">
        <v>0.074</v>
      </c>
      <c r="W131" s="126">
        <f>$V$131*$K$131</f>
        <v>14.030399999999998</v>
      </c>
      <c r="X131" s="126">
        <v>0</v>
      </c>
      <c r="Y131" s="126">
        <f>$X$131*$K$131</f>
        <v>0</v>
      </c>
      <c r="Z131" s="126">
        <v>0</v>
      </c>
      <c r="AA131" s="127">
        <f>$Z$131*$K$131</f>
        <v>0</v>
      </c>
      <c r="AR131" s="6" t="s">
        <v>150</v>
      </c>
      <c r="AT131" s="6" t="s">
        <v>146</v>
      </c>
      <c r="AU131" s="6" t="s">
        <v>100</v>
      </c>
      <c r="AY131" s="6" t="s">
        <v>145</v>
      </c>
      <c r="BE131" s="78">
        <f>IF($U$131="základní",$N$131,0)</f>
        <v>0</v>
      </c>
      <c r="BF131" s="78">
        <f>IF($U$131="snížená",$N$131,0)</f>
        <v>0</v>
      </c>
      <c r="BG131" s="78">
        <f>IF($U$131="zákl. přenesená",$N$131,0)</f>
        <v>0</v>
      </c>
      <c r="BH131" s="78">
        <f>IF($U$131="sníž. přenesená",$N$131,0)</f>
        <v>0</v>
      </c>
      <c r="BI131" s="78">
        <f>IF($U$131="nulová",$N$131,0)</f>
        <v>0</v>
      </c>
      <c r="BJ131" s="6" t="s">
        <v>17</v>
      </c>
      <c r="BK131" s="78">
        <f>ROUND($L$131*$K$131,2)</f>
        <v>0</v>
      </c>
      <c r="BL131" s="6" t="s">
        <v>150</v>
      </c>
    </row>
    <row r="132" spans="2:64" s="6" customFormat="1" ht="27" customHeight="1">
      <c r="B132" s="21"/>
      <c r="C132" s="120" t="s">
        <v>155</v>
      </c>
      <c r="D132" s="120" t="s">
        <v>146</v>
      </c>
      <c r="E132" s="121" t="s">
        <v>156</v>
      </c>
      <c r="F132" s="198" t="s">
        <v>157</v>
      </c>
      <c r="G132" s="199"/>
      <c r="H132" s="199"/>
      <c r="I132" s="199"/>
      <c r="J132" s="122" t="s">
        <v>149</v>
      </c>
      <c r="K132" s="123">
        <v>189.6</v>
      </c>
      <c r="L132" s="200">
        <v>0</v>
      </c>
      <c r="M132" s="199"/>
      <c r="N132" s="201">
        <f>ROUND($L$132*$K$132,2)</f>
        <v>0</v>
      </c>
      <c r="O132" s="199"/>
      <c r="P132" s="199"/>
      <c r="Q132" s="199"/>
      <c r="R132" s="22"/>
      <c r="T132" s="124"/>
      <c r="U132" s="125" t="s">
        <v>38</v>
      </c>
      <c r="V132" s="126">
        <v>0.045</v>
      </c>
      <c r="W132" s="126">
        <f>$V$132*$K$132</f>
        <v>8.532</v>
      </c>
      <c r="X132" s="126">
        <v>0</v>
      </c>
      <c r="Y132" s="126">
        <f>$X$132*$K$132</f>
        <v>0</v>
      </c>
      <c r="Z132" s="126">
        <v>0</v>
      </c>
      <c r="AA132" s="127">
        <f>$Z$132*$K$132</f>
        <v>0</v>
      </c>
      <c r="AR132" s="6" t="s">
        <v>150</v>
      </c>
      <c r="AT132" s="6" t="s">
        <v>146</v>
      </c>
      <c r="AU132" s="6" t="s">
        <v>100</v>
      </c>
      <c r="AY132" s="6" t="s">
        <v>145</v>
      </c>
      <c r="BE132" s="78">
        <f>IF($U$132="základní",$N$132,0)</f>
        <v>0</v>
      </c>
      <c r="BF132" s="78">
        <f>IF($U$132="snížená",$N$132,0)</f>
        <v>0</v>
      </c>
      <c r="BG132" s="78">
        <f>IF($U$132="zákl. přenesená",$N$132,0)</f>
        <v>0</v>
      </c>
      <c r="BH132" s="78">
        <f>IF($U$132="sníž. přenesená",$N$132,0)</f>
        <v>0</v>
      </c>
      <c r="BI132" s="78">
        <f>IF($U$132="nulová",$N$132,0)</f>
        <v>0</v>
      </c>
      <c r="BJ132" s="6" t="s">
        <v>17</v>
      </c>
      <c r="BK132" s="78">
        <f>ROUND($L$132*$K$132,2)</f>
        <v>0</v>
      </c>
      <c r="BL132" s="6" t="s">
        <v>150</v>
      </c>
    </row>
    <row r="133" spans="2:64" s="6" customFormat="1" ht="27" customHeight="1">
      <c r="B133" s="21"/>
      <c r="C133" s="120" t="s">
        <v>150</v>
      </c>
      <c r="D133" s="120" t="s">
        <v>146</v>
      </c>
      <c r="E133" s="121" t="s">
        <v>158</v>
      </c>
      <c r="F133" s="198" t="s">
        <v>159</v>
      </c>
      <c r="G133" s="199"/>
      <c r="H133" s="199"/>
      <c r="I133" s="199"/>
      <c r="J133" s="122" t="s">
        <v>160</v>
      </c>
      <c r="K133" s="123">
        <v>737.2</v>
      </c>
      <c r="L133" s="200">
        <v>0</v>
      </c>
      <c r="M133" s="199"/>
      <c r="N133" s="201">
        <f>ROUND($L$133*$K$133,2)</f>
        <v>0</v>
      </c>
      <c r="O133" s="199"/>
      <c r="P133" s="199"/>
      <c r="Q133" s="199"/>
      <c r="R133" s="22"/>
      <c r="T133" s="124"/>
      <c r="U133" s="125" t="s">
        <v>38</v>
      </c>
      <c r="V133" s="126">
        <v>0.018</v>
      </c>
      <c r="W133" s="126">
        <f>$V$133*$K$133</f>
        <v>13.2696</v>
      </c>
      <c r="X133" s="126">
        <v>0</v>
      </c>
      <c r="Y133" s="126">
        <f>$X$133*$K$133</f>
        <v>0</v>
      </c>
      <c r="Z133" s="126">
        <v>0</v>
      </c>
      <c r="AA133" s="127">
        <f>$Z$133*$K$133</f>
        <v>0</v>
      </c>
      <c r="AR133" s="6" t="s">
        <v>150</v>
      </c>
      <c r="AT133" s="6" t="s">
        <v>146</v>
      </c>
      <c r="AU133" s="6" t="s">
        <v>100</v>
      </c>
      <c r="AY133" s="6" t="s">
        <v>145</v>
      </c>
      <c r="BE133" s="78">
        <f>IF($U$133="základní",$N$133,0)</f>
        <v>0</v>
      </c>
      <c r="BF133" s="78">
        <f>IF($U$133="snížená",$N$133,0)</f>
        <v>0</v>
      </c>
      <c r="BG133" s="78">
        <f>IF($U$133="zákl. přenesená",$N$133,0)</f>
        <v>0</v>
      </c>
      <c r="BH133" s="78">
        <f>IF($U$133="sníž. přenesená",$N$133,0)</f>
        <v>0</v>
      </c>
      <c r="BI133" s="78">
        <f>IF($U$133="nulová",$N$133,0)</f>
        <v>0</v>
      </c>
      <c r="BJ133" s="6" t="s">
        <v>17</v>
      </c>
      <c r="BK133" s="78">
        <f>ROUND($L$133*$K$133,2)</f>
        <v>0</v>
      </c>
      <c r="BL133" s="6" t="s">
        <v>150</v>
      </c>
    </row>
    <row r="134" spans="2:51" s="6" customFormat="1" ht="15.75" customHeight="1">
      <c r="B134" s="128"/>
      <c r="E134" s="129"/>
      <c r="F134" s="202" t="s">
        <v>161</v>
      </c>
      <c r="G134" s="203"/>
      <c r="H134" s="203"/>
      <c r="I134" s="203"/>
      <c r="K134" s="130">
        <v>737.2</v>
      </c>
      <c r="R134" s="131"/>
      <c r="T134" s="132"/>
      <c r="AA134" s="133"/>
      <c r="AT134" s="129" t="s">
        <v>152</v>
      </c>
      <c r="AU134" s="129" t="s">
        <v>100</v>
      </c>
      <c r="AV134" s="134" t="s">
        <v>100</v>
      </c>
      <c r="AW134" s="134" t="s">
        <v>109</v>
      </c>
      <c r="AX134" s="134" t="s">
        <v>73</v>
      </c>
      <c r="AY134" s="129" t="s">
        <v>145</v>
      </c>
    </row>
    <row r="135" spans="2:64" s="6" customFormat="1" ht="15.75" customHeight="1">
      <c r="B135" s="21"/>
      <c r="C135" s="135" t="s">
        <v>162</v>
      </c>
      <c r="D135" s="135" t="s">
        <v>163</v>
      </c>
      <c r="E135" s="136" t="s">
        <v>164</v>
      </c>
      <c r="F135" s="204" t="s">
        <v>165</v>
      </c>
      <c r="G135" s="205"/>
      <c r="H135" s="205"/>
      <c r="I135" s="205"/>
      <c r="J135" s="137" t="s">
        <v>166</v>
      </c>
      <c r="K135" s="138">
        <v>14.744</v>
      </c>
      <c r="L135" s="206">
        <v>0</v>
      </c>
      <c r="M135" s="205"/>
      <c r="N135" s="207">
        <f>ROUND($L$135*$K$135,2)</f>
        <v>0</v>
      </c>
      <c r="O135" s="199"/>
      <c r="P135" s="199"/>
      <c r="Q135" s="199"/>
      <c r="R135" s="22"/>
      <c r="T135" s="124"/>
      <c r="U135" s="125" t="s">
        <v>38</v>
      </c>
      <c r="V135" s="126">
        <v>0</v>
      </c>
      <c r="W135" s="126">
        <f>$V$135*$K$135</f>
        <v>0</v>
      </c>
      <c r="X135" s="126">
        <v>0.001</v>
      </c>
      <c r="Y135" s="126">
        <f>$X$135*$K$135</f>
        <v>0.014744</v>
      </c>
      <c r="Z135" s="126">
        <v>0</v>
      </c>
      <c r="AA135" s="127">
        <f>$Z$135*$K$135</f>
        <v>0</v>
      </c>
      <c r="AR135" s="6" t="s">
        <v>167</v>
      </c>
      <c r="AT135" s="6" t="s">
        <v>163</v>
      </c>
      <c r="AU135" s="6" t="s">
        <v>100</v>
      </c>
      <c r="AY135" s="6" t="s">
        <v>145</v>
      </c>
      <c r="BE135" s="78">
        <f>IF($U$135="základní",$N$135,0)</f>
        <v>0</v>
      </c>
      <c r="BF135" s="78">
        <f>IF($U$135="snížená",$N$135,0)</f>
        <v>0</v>
      </c>
      <c r="BG135" s="78">
        <f>IF($U$135="zákl. přenesená",$N$135,0)</f>
        <v>0</v>
      </c>
      <c r="BH135" s="78">
        <f>IF($U$135="sníž. přenesená",$N$135,0)</f>
        <v>0</v>
      </c>
      <c r="BI135" s="78">
        <f>IF($U$135="nulová",$N$135,0)</f>
        <v>0</v>
      </c>
      <c r="BJ135" s="6" t="s">
        <v>17</v>
      </c>
      <c r="BK135" s="78">
        <f>ROUND($L$135*$K$135,2)</f>
        <v>0</v>
      </c>
      <c r="BL135" s="6" t="s">
        <v>150</v>
      </c>
    </row>
    <row r="136" spans="2:51" s="6" customFormat="1" ht="15.75" customHeight="1">
      <c r="B136" s="128"/>
      <c r="E136" s="129"/>
      <c r="F136" s="202" t="s">
        <v>168</v>
      </c>
      <c r="G136" s="203"/>
      <c r="H136" s="203"/>
      <c r="I136" s="203"/>
      <c r="K136" s="130">
        <v>14.744</v>
      </c>
      <c r="R136" s="131"/>
      <c r="T136" s="132"/>
      <c r="AA136" s="133"/>
      <c r="AT136" s="129" t="s">
        <v>152</v>
      </c>
      <c r="AU136" s="129" t="s">
        <v>100</v>
      </c>
      <c r="AV136" s="134" t="s">
        <v>100</v>
      </c>
      <c r="AW136" s="134" t="s">
        <v>109</v>
      </c>
      <c r="AX136" s="134" t="s">
        <v>73</v>
      </c>
      <c r="AY136" s="129" t="s">
        <v>145</v>
      </c>
    </row>
    <row r="137" spans="2:64" s="6" customFormat="1" ht="15.75" customHeight="1">
      <c r="B137" s="21"/>
      <c r="C137" s="120" t="s">
        <v>169</v>
      </c>
      <c r="D137" s="120" t="s">
        <v>146</v>
      </c>
      <c r="E137" s="121" t="s">
        <v>170</v>
      </c>
      <c r="F137" s="198" t="s">
        <v>171</v>
      </c>
      <c r="G137" s="199"/>
      <c r="H137" s="199"/>
      <c r="I137" s="199"/>
      <c r="J137" s="122" t="s">
        <v>160</v>
      </c>
      <c r="K137" s="123">
        <v>126.8</v>
      </c>
      <c r="L137" s="200">
        <v>0</v>
      </c>
      <c r="M137" s="199"/>
      <c r="N137" s="201">
        <f>ROUND($L$137*$K$137,2)</f>
        <v>0</v>
      </c>
      <c r="O137" s="199"/>
      <c r="P137" s="199"/>
      <c r="Q137" s="199"/>
      <c r="R137" s="22"/>
      <c r="T137" s="124"/>
      <c r="U137" s="125" t="s">
        <v>38</v>
      </c>
      <c r="V137" s="126">
        <v>0.013</v>
      </c>
      <c r="W137" s="126">
        <f>$V$137*$K$137</f>
        <v>1.6483999999999999</v>
      </c>
      <c r="X137" s="126">
        <v>0</v>
      </c>
      <c r="Y137" s="126">
        <f>$X$137*$K$137</f>
        <v>0</v>
      </c>
      <c r="Z137" s="126">
        <v>0</v>
      </c>
      <c r="AA137" s="127">
        <f>$Z$137*$K$137</f>
        <v>0</v>
      </c>
      <c r="AR137" s="6" t="s">
        <v>150</v>
      </c>
      <c r="AT137" s="6" t="s">
        <v>146</v>
      </c>
      <c r="AU137" s="6" t="s">
        <v>100</v>
      </c>
      <c r="AY137" s="6" t="s">
        <v>145</v>
      </c>
      <c r="BE137" s="78">
        <f>IF($U$137="základní",$N$137,0)</f>
        <v>0</v>
      </c>
      <c r="BF137" s="78">
        <f>IF($U$137="snížená",$N$137,0)</f>
        <v>0</v>
      </c>
      <c r="BG137" s="78">
        <f>IF($U$137="zákl. přenesená",$N$137,0)</f>
        <v>0</v>
      </c>
      <c r="BH137" s="78">
        <f>IF($U$137="sníž. přenesená",$N$137,0)</f>
        <v>0</v>
      </c>
      <c r="BI137" s="78">
        <f>IF($U$137="nulová",$N$137,0)</f>
        <v>0</v>
      </c>
      <c r="BJ137" s="6" t="s">
        <v>17</v>
      </c>
      <c r="BK137" s="78">
        <f>ROUND($L$137*$K$137,2)</f>
        <v>0</v>
      </c>
      <c r="BL137" s="6" t="s">
        <v>150</v>
      </c>
    </row>
    <row r="138" spans="2:51" s="6" customFormat="1" ht="15.75" customHeight="1">
      <c r="B138" s="128"/>
      <c r="E138" s="129"/>
      <c r="F138" s="202" t="s">
        <v>172</v>
      </c>
      <c r="G138" s="203"/>
      <c r="H138" s="203"/>
      <c r="I138" s="203"/>
      <c r="K138" s="130">
        <v>126.8</v>
      </c>
      <c r="R138" s="131"/>
      <c r="T138" s="132"/>
      <c r="AA138" s="133"/>
      <c r="AT138" s="129" t="s">
        <v>152</v>
      </c>
      <c r="AU138" s="129" t="s">
        <v>100</v>
      </c>
      <c r="AV138" s="134" t="s">
        <v>100</v>
      </c>
      <c r="AW138" s="134" t="s">
        <v>109</v>
      </c>
      <c r="AX138" s="134" t="s">
        <v>73</v>
      </c>
      <c r="AY138" s="129" t="s">
        <v>145</v>
      </c>
    </row>
    <row r="139" spans="2:64" s="6" customFormat="1" ht="15.75" customHeight="1">
      <c r="B139" s="21"/>
      <c r="C139" s="120" t="s">
        <v>173</v>
      </c>
      <c r="D139" s="120" t="s">
        <v>146</v>
      </c>
      <c r="E139" s="121" t="s">
        <v>174</v>
      </c>
      <c r="F139" s="198" t="s">
        <v>175</v>
      </c>
      <c r="G139" s="199"/>
      <c r="H139" s="199"/>
      <c r="I139" s="199"/>
      <c r="J139" s="122" t="s">
        <v>160</v>
      </c>
      <c r="K139" s="123">
        <v>507.2</v>
      </c>
      <c r="L139" s="200">
        <v>0</v>
      </c>
      <c r="M139" s="199"/>
      <c r="N139" s="201">
        <f>ROUND($L$139*$K$139,2)</f>
        <v>0</v>
      </c>
      <c r="O139" s="199"/>
      <c r="P139" s="199"/>
      <c r="Q139" s="199"/>
      <c r="R139" s="22"/>
      <c r="T139" s="124"/>
      <c r="U139" s="125" t="s">
        <v>38</v>
      </c>
      <c r="V139" s="126">
        <v>0.128</v>
      </c>
      <c r="W139" s="126">
        <f>$V$139*$K$139</f>
        <v>64.9216</v>
      </c>
      <c r="X139" s="126">
        <v>0</v>
      </c>
      <c r="Y139" s="126">
        <f>$X$139*$K$139</f>
        <v>0</v>
      </c>
      <c r="Z139" s="126">
        <v>0</v>
      </c>
      <c r="AA139" s="127">
        <f>$Z$139*$K$139</f>
        <v>0</v>
      </c>
      <c r="AR139" s="6" t="s">
        <v>150</v>
      </c>
      <c r="AT139" s="6" t="s">
        <v>146</v>
      </c>
      <c r="AU139" s="6" t="s">
        <v>100</v>
      </c>
      <c r="AY139" s="6" t="s">
        <v>145</v>
      </c>
      <c r="BE139" s="78">
        <f>IF($U$139="základní",$N$139,0)</f>
        <v>0</v>
      </c>
      <c r="BF139" s="78">
        <f>IF($U$139="snížená",$N$139,0)</f>
        <v>0</v>
      </c>
      <c r="BG139" s="78">
        <f>IF($U$139="zákl. přenesená",$N$139,0)</f>
        <v>0</v>
      </c>
      <c r="BH139" s="78">
        <f>IF($U$139="sníž. přenesená",$N$139,0)</f>
        <v>0</v>
      </c>
      <c r="BI139" s="78">
        <f>IF($U$139="nulová",$N$139,0)</f>
        <v>0</v>
      </c>
      <c r="BJ139" s="6" t="s">
        <v>17</v>
      </c>
      <c r="BK139" s="78">
        <f>ROUND($L$139*$K$139,2)</f>
        <v>0</v>
      </c>
      <c r="BL139" s="6" t="s">
        <v>150</v>
      </c>
    </row>
    <row r="140" spans="2:51" s="6" customFormat="1" ht="15.75" customHeight="1">
      <c r="B140" s="128"/>
      <c r="E140" s="129"/>
      <c r="F140" s="202" t="s">
        <v>176</v>
      </c>
      <c r="G140" s="203"/>
      <c r="H140" s="203"/>
      <c r="I140" s="203"/>
      <c r="K140" s="130">
        <v>507.2</v>
      </c>
      <c r="R140" s="131"/>
      <c r="T140" s="132"/>
      <c r="AA140" s="133"/>
      <c r="AT140" s="129" t="s">
        <v>152</v>
      </c>
      <c r="AU140" s="129" t="s">
        <v>100</v>
      </c>
      <c r="AV140" s="134" t="s">
        <v>100</v>
      </c>
      <c r="AW140" s="134" t="s">
        <v>109</v>
      </c>
      <c r="AX140" s="134" t="s">
        <v>73</v>
      </c>
      <c r="AY140" s="129" t="s">
        <v>145</v>
      </c>
    </row>
    <row r="141" spans="2:64" s="6" customFormat="1" ht="15.75" customHeight="1">
      <c r="B141" s="21"/>
      <c r="C141" s="120" t="s">
        <v>167</v>
      </c>
      <c r="D141" s="120" t="s">
        <v>146</v>
      </c>
      <c r="E141" s="121" t="s">
        <v>177</v>
      </c>
      <c r="F141" s="198" t="s">
        <v>178</v>
      </c>
      <c r="G141" s="199"/>
      <c r="H141" s="199"/>
      <c r="I141" s="199"/>
      <c r="J141" s="122" t="s">
        <v>160</v>
      </c>
      <c r="K141" s="123">
        <v>293.4</v>
      </c>
      <c r="L141" s="200">
        <v>0</v>
      </c>
      <c r="M141" s="199"/>
      <c r="N141" s="201">
        <f>ROUND($L$141*$K$141,2)</f>
        <v>0</v>
      </c>
      <c r="O141" s="199"/>
      <c r="P141" s="199"/>
      <c r="Q141" s="199"/>
      <c r="R141" s="22"/>
      <c r="T141" s="124"/>
      <c r="U141" s="125" t="s">
        <v>38</v>
      </c>
      <c r="V141" s="126">
        <v>0.107</v>
      </c>
      <c r="W141" s="126">
        <f>$V$141*$K$141</f>
        <v>31.393799999999995</v>
      </c>
      <c r="X141" s="126">
        <v>0</v>
      </c>
      <c r="Y141" s="126">
        <f>$X$141*$K$141</f>
        <v>0</v>
      </c>
      <c r="Z141" s="126">
        <v>0</v>
      </c>
      <c r="AA141" s="127">
        <f>$Z$141*$K$141</f>
        <v>0</v>
      </c>
      <c r="AR141" s="6" t="s">
        <v>150</v>
      </c>
      <c r="AT141" s="6" t="s">
        <v>146</v>
      </c>
      <c r="AU141" s="6" t="s">
        <v>100</v>
      </c>
      <c r="AY141" s="6" t="s">
        <v>145</v>
      </c>
      <c r="BE141" s="78">
        <f>IF($U$141="základní",$N$141,0)</f>
        <v>0</v>
      </c>
      <c r="BF141" s="78">
        <f>IF($U$141="snížená",$N$141,0)</f>
        <v>0</v>
      </c>
      <c r="BG141" s="78">
        <f>IF($U$141="zákl. přenesená",$N$141,0)</f>
        <v>0</v>
      </c>
      <c r="BH141" s="78">
        <f>IF($U$141="sníž. přenesená",$N$141,0)</f>
        <v>0</v>
      </c>
      <c r="BI141" s="78">
        <f>IF($U$141="nulová",$N$141,0)</f>
        <v>0</v>
      </c>
      <c r="BJ141" s="6" t="s">
        <v>17</v>
      </c>
      <c r="BK141" s="78">
        <f>ROUND($L$141*$K$141,2)</f>
        <v>0</v>
      </c>
      <c r="BL141" s="6" t="s">
        <v>150</v>
      </c>
    </row>
    <row r="142" spans="2:51" s="6" customFormat="1" ht="15.75" customHeight="1">
      <c r="B142" s="139"/>
      <c r="E142" s="140"/>
      <c r="F142" s="208" t="s">
        <v>179</v>
      </c>
      <c r="G142" s="209"/>
      <c r="H142" s="209"/>
      <c r="I142" s="209"/>
      <c r="K142" s="140"/>
      <c r="R142" s="141"/>
      <c r="T142" s="142"/>
      <c r="AA142" s="143"/>
      <c r="AT142" s="140" t="s">
        <v>152</v>
      </c>
      <c r="AU142" s="140" t="s">
        <v>100</v>
      </c>
      <c r="AV142" s="144" t="s">
        <v>17</v>
      </c>
      <c r="AW142" s="144" t="s">
        <v>109</v>
      </c>
      <c r="AX142" s="144" t="s">
        <v>73</v>
      </c>
      <c r="AY142" s="140" t="s">
        <v>145</v>
      </c>
    </row>
    <row r="143" spans="2:51" s="6" customFormat="1" ht="15.75" customHeight="1">
      <c r="B143" s="128"/>
      <c r="E143" s="129"/>
      <c r="F143" s="202" t="s">
        <v>180</v>
      </c>
      <c r="G143" s="203"/>
      <c r="H143" s="203"/>
      <c r="I143" s="203"/>
      <c r="K143" s="130">
        <v>293.4</v>
      </c>
      <c r="R143" s="131"/>
      <c r="T143" s="132"/>
      <c r="AA143" s="133"/>
      <c r="AT143" s="129" t="s">
        <v>152</v>
      </c>
      <c r="AU143" s="129" t="s">
        <v>100</v>
      </c>
      <c r="AV143" s="134" t="s">
        <v>100</v>
      </c>
      <c r="AW143" s="134" t="s">
        <v>109</v>
      </c>
      <c r="AX143" s="134" t="s">
        <v>73</v>
      </c>
      <c r="AY143" s="129" t="s">
        <v>145</v>
      </c>
    </row>
    <row r="144" spans="2:64" s="6" customFormat="1" ht="27" customHeight="1">
      <c r="B144" s="21"/>
      <c r="C144" s="120" t="s">
        <v>181</v>
      </c>
      <c r="D144" s="120" t="s">
        <v>146</v>
      </c>
      <c r="E144" s="121" t="s">
        <v>182</v>
      </c>
      <c r="F144" s="198" t="s">
        <v>183</v>
      </c>
      <c r="G144" s="199"/>
      <c r="H144" s="199"/>
      <c r="I144" s="199"/>
      <c r="J144" s="122" t="s">
        <v>160</v>
      </c>
      <c r="K144" s="123">
        <v>293.4</v>
      </c>
      <c r="L144" s="200">
        <v>0</v>
      </c>
      <c r="M144" s="199"/>
      <c r="N144" s="201">
        <f>ROUND($L$144*$K$144,2)</f>
        <v>0</v>
      </c>
      <c r="O144" s="199"/>
      <c r="P144" s="199"/>
      <c r="Q144" s="199"/>
      <c r="R144" s="22"/>
      <c r="T144" s="124"/>
      <c r="U144" s="125" t="s">
        <v>38</v>
      </c>
      <c r="V144" s="126">
        <v>0.631</v>
      </c>
      <c r="W144" s="126">
        <f>$V$144*$K$144</f>
        <v>185.13539999999998</v>
      </c>
      <c r="X144" s="126">
        <v>0</v>
      </c>
      <c r="Y144" s="126">
        <f>$X$144*$K$144</f>
        <v>0</v>
      </c>
      <c r="Z144" s="126">
        <v>0</v>
      </c>
      <c r="AA144" s="127">
        <f>$Z$144*$K$144</f>
        <v>0</v>
      </c>
      <c r="AR144" s="6" t="s">
        <v>150</v>
      </c>
      <c r="AT144" s="6" t="s">
        <v>146</v>
      </c>
      <c r="AU144" s="6" t="s">
        <v>100</v>
      </c>
      <c r="AY144" s="6" t="s">
        <v>145</v>
      </c>
      <c r="BE144" s="78">
        <f>IF($U$144="základní",$N$144,0)</f>
        <v>0</v>
      </c>
      <c r="BF144" s="78">
        <f>IF($U$144="snížená",$N$144,0)</f>
        <v>0</v>
      </c>
      <c r="BG144" s="78">
        <f>IF($U$144="zákl. přenesená",$N$144,0)</f>
        <v>0</v>
      </c>
      <c r="BH144" s="78">
        <f>IF($U$144="sníž. přenesená",$N$144,0)</f>
        <v>0</v>
      </c>
      <c r="BI144" s="78">
        <f>IF($U$144="nulová",$N$144,0)</f>
        <v>0</v>
      </c>
      <c r="BJ144" s="6" t="s">
        <v>17</v>
      </c>
      <c r="BK144" s="78">
        <f>ROUND($L$144*$K$144,2)</f>
        <v>0</v>
      </c>
      <c r="BL144" s="6" t="s">
        <v>150</v>
      </c>
    </row>
    <row r="145" spans="2:63" s="110" customFormat="1" ht="30.75" customHeight="1">
      <c r="B145" s="111"/>
      <c r="D145" s="119" t="s">
        <v>112</v>
      </c>
      <c r="N145" s="214">
        <f>$BK$145</f>
        <v>0</v>
      </c>
      <c r="O145" s="213"/>
      <c r="P145" s="213"/>
      <c r="Q145" s="213"/>
      <c r="R145" s="114"/>
      <c r="T145" s="115"/>
      <c r="W145" s="116">
        <f>SUM($W$146:$W$147)</f>
        <v>48.7872</v>
      </c>
      <c r="Y145" s="116">
        <f>SUM($Y$146:$Y$147)</f>
        <v>50.319359999999996</v>
      </c>
      <c r="AA145" s="117">
        <f>SUM($AA$146:$AA$147)</f>
        <v>0</v>
      </c>
      <c r="AR145" s="113" t="s">
        <v>17</v>
      </c>
      <c r="AT145" s="113" t="s">
        <v>72</v>
      </c>
      <c r="AU145" s="113" t="s">
        <v>17</v>
      </c>
      <c r="AY145" s="113" t="s">
        <v>145</v>
      </c>
      <c r="BK145" s="118">
        <f>SUM($BK$146:$BK$147)</f>
        <v>0</v>
      </c>
    </row>
    <row r="146" spans="2:64" s="6" customFormat="1" ht="27" customHeight="1">
      <c r="B146" s="21"/>
      <c r="C146" s="120" t="s">
        <v>22</v>
      </c>
      <c r="D146" s="120" t="s">
        <v>146</v>
      </c>
      <c r="E146" s="121" t="s">
        <v>184</v>
      </c>
      <c r="F146" s="198" t="s">
        <v>185</v>
      </c>
      <c r="G146" s="199"/>
      <c r="H146" s="199"/>
      <c r="I146" s="199"/>
      <c r="J146" s="122" t="s">
        <v>149</v>
      </c>
      <c r="K146" s="123">
        <v>25.2</v>
      </c>
      <c r="L146" s="200">
        <v>0</v>
      </c>
      <c r="M146" s="199"/>
      <c r="N146" s="201">
        <f>ROUND($L$146*$K$146,2)</f>
        <v>0</v>
      </c>
      <c r="O146" s="199"/>
      <c r="P146" s="199"/>
      <c r="Q146" s="199"/>
      <c r="R146" s="22"/>
      <c r="T146" s="124"/>
      <c r="U146" s="125" t="s">
        <v>38</v>
      </c>
      <c r="V146" s="126">
        <v>1.936</v>
      </c>
      <c r="W146" s="126">
        <f>$V$146*$K$146</f>
        <v>48.7872</v>
      </c>
      <c r="X146" s="126">
        <v>1.9968</v>
      </c>
      <c r="Y146" s="126">
        <f>$X$146*$K$146</f>
        <v>50.319359999999996</v>
      </c>
      <c r="Z146" s="126">
        <v>0</v>
      </c>
      <c r="AA146" s="127">
        <f>$Z$146*$K$146</f>
        <v>0</v>
      </c>
      <c r="AR146" s="6" t="s">
        <v>150</v>
      </c>
      <c r="AT146" s="6" t="s">
        <v>146</v>
      </c>
      <c r="AU146" s="6" t="s">
        <v>100</v>
      </c>
      <c r="AY146" s="6" t="s">
        <v>145</v>
      </c>
      <c r="BE146" s="78">
        <f>IF($U$146="základní",$N$146,0)</f>
        <v>0</v>
      </c>
      <c r="BF146" s="78">
        <f>IF($U$146="snížená",$N$146,0)</f>
        <v>0</v>
      </c>
      <c r="BG146" s="78">
        <f>IF($U$146="zákl. přenesená",$N$146,0)</f>
        <v>0</v>
      </c>
      <c r="BH146" s="78">
        <f>IF($U$146="sníž. přenesená",$N$146,0)</f>
        <v>0</v>
      </c>
      <c r="BI146" s="78">
        <f>IF($U$146="nulová",$N$146,0)</f>
        <v>0</v>
      </c>
      <c r="BJ146" s="6" t="s">
        <v>17</v>
      </c>
      <c r="BK146" s="78">
        <f>ROUND($L$146*$K$146,2)</f>
        <v>0</v>
      </c>
      <c r="BL146" s="6" t="s">
        <v>150</v>
      </c>
    </row>
    <row r="147" spans="2:51" s="6" customFormat="1" ht="15.75" customHeight="1">
      <c r="B147" s="128"/>
      <c r="E147" s="129"/>
      <c r="F147" s="202" t="s">
        <v>186</v>
      </c>
      <c r="G147" s="203"/>
      <c r="H147" s="203"/>
      <c r="I147" s="203"/>
      <c r="K147" s="130">
        <v>25.2</v>
      </c>
      <c r="R147" s="131"/>
      <c r="T147" s="132"/>
      <c r="AA147" s="133"/>
      <c r="AT147" s="129" t="s">
        <v>152</v>
      </c>
      <c r="AU147" s="129" t="s">
        <v>100</v>
      </c>
      <c r="AV147" s="134" t="s">
        <v>100</v>
      </c>
      <c r="AW147" s="134" t="s">
        <v>109</v>
      </c>
      <c r="AX147" s="134" t="s">
        <v>73</v>
      </c>
      <c r="AY147" s="129" t="s">
        <v>145</v>
      </c>
    </row>
    <row r="148" spans="2:63" s="110" customFormat="1" ht="30.75" customHeight="1">
      <c r="B148" s="111"/>
      <c r="D148" s="119" t="s">
        <v>113</v>
      </c>
      <c r="N148" s="214">
        <f>$BK$148</f>
        <v>0</v>
      </c>
      <c r="O148" s="213"/>
      <c r="P148" s="213"/>
      <c r="Q148" s="213"/>
      <c r="R148" s="114"/>
      <c r="T148" s="115"/>
      <c r="W148" s="116">
        <f>SUM($W$149:$W$150)</f>
        <v>2.688</v>
      </c>
      <c r="Y148" s="116">
        <f>SUM($Y$149:$Y$150)</f>
        <v>0</v>
      </c>
      <c r="AA148" s="117">
        <f>SUM($AA$149:$AA$150)</f>
        <v>0</v>
      </c>
      <c r="AR148" s="113" t="s">
        <v>17</v>
      </c>
      <c r="AT148" s="113" t="s">
        <v>72</v>
      </c>
      <c r="AU148" s="113" t="s">
        <v>17</v>
      </c>
      <c r="AY148" s="113" t="s">
        <v>145</v>
      </c>
      <c r="BK148" s="118">
        <f>SUM($BK$149:$BK$150)</f>
        <v>0</v>
      </c>
    </row>
    <row r="149" spans="2:64" s="6" customFormat="1" ht="27" customHeight="1">
      <c r="B149" s="21"/>
      <c r="C149" s="120" t="s">
        <v>187</v>
      </c>
      <c r="D149" s="120" t="s">
        <v>146</v>
      </c>
      <c r="E149" s="121" t="s">
        <v>188</v>
      </c>
      <c r="F149" s="198" t="s">
        <v>189</v>
      </c>
      <c r="G149" s="199"/>
      <c r="H149" s="199"/>
      <c r="I149" s="199"/>
      <c r="J149" s="122" t="s">
        <v>160</v>
      </c>
      <c r="K149" s="123">
        <v>96</v>
      </c>
      <c r="L149" s="200">
        <v>0</v>
      </c>
      <c r="M149" s="199"/>
      <c r="N149" s="201">
        <f>ROUND($L$149*$K$149,2)</f>
        <v>0</v>
      </c>
      <c r="O149" s="199"/>
      <c r="P149" s="199"/>
      <c r="Q149" s="199"/>
      <c r="R149" s="22"/>
      <c r="T149" s="124"/>
      <c r="U149" s="125" t="s">
        <v>38</v>
      </c>
      <c r="V149" s="126">
        <v>0.028</v>
      </c>
      <c r="W149" s="126">
        <f>$V$149*$K$149</f>
        <v>2.688</v>
      </c>
      <c r="X149" s="126">
        <v>0</v>
      </c>
      <c r="Y149" s="126">
        <f>$X$149*$K$149</f>
        <v>0</v>
      </c>
      <c r="Z149" s="126">
        <v>0</v>
      </c>
      <c r="AA149" s="127">
        <f>$Z$149*$K$149</f>
        <v>0</v>
      </c>
      <c r="AR149" s="6" t="s">
        <v>150</v>
      </c>
      <c r="AT149" s="6" t="s">
        <v>146</v>
      </c>
      <c r="AU149" s="6" t="s">
        <v>100</v>
      </c>
      <c r="AY149" s="6" t="s">
        <v>145</v>
      </c>
      <c r="BE149" s="78">
        <f>IF($U$149="základní",$N$149,0)</f>
        <v>0</v>
      </c>
      <c r="BF149" s="78">
        <f>IF($U$149="snížená",$N$149,0)</f>
        <v>0</v>
      </c>
      <c r="BG149" s="78">
        <f>IF($U$149="zákl. přenesená",$N$149,0)</f>
        <v>0</v>
      </c>
      <c r="BH149" s="78">
        <f>IF($U$149="sníž. přenesená",$N$149,0)</f>
        <v>0</v>
      </c>
      <c r="BI149" s="78">
        <f>IF($U$149="nulová",$N$149,0)</f>
        <v>0</v>
      </c>
      <c r="BJ149" s="6" t="s">
        <v>17</v>
      </c>
      <c r="BK149" s="78">
        <f>ROUND($L$149*$K$149,2)</f>
        <v>0</v>
      </c>
      <c r="BL149" s="6" t="s">
        <v>150</v>
      </c>
    </row>
    <row r="150" spans="2:51" s="6" customFormat="1" ht="15.75" customHeight="1">
      <c r="B150" s="128"/>
      <c r="E150" s="129"/>
      <c r="F150" s="202" t="s">
        <v>190</v>
      </c>
      <c r="G150" s="203"/>
      <c r="H150" s="203"/>
      <c r="I150" s="203"/>
      <c r="K150" s="130">
        <v>96</v>
      </c>
      <c r="R150" s="131"/>
      <c r="T150" s="132"/>
      <c r="AA150" s="133"/>
      <c r="AT150" s="129" t="s">
        <v>152</v>
      </c>
      <c r="AU150" s="129" t="s">
        <v>100</v>
      </c>
      <c r="AV150" s="134" t="s">
        <v>100</v>
      </c>
      <c r="AW150" s="134" t="s">
        <v>109</v>
      </c>
      <c r="AX150" s="134" t="s">
        <v>73</v>
      </c>
      <c r="AY150" s="129" t="s">
        <v>145</v>
      </c>
    </row>
    <row r="151" spans="2:63" s="110" customFormat="1" ht="30.75" customHeight="1">
      <c r="B151" s="111"/>
      <c r="D151" s="119" t="s">
        <v>114</v>
      </c>
      <c r="N151" s="214">
        <f>$BK$151</f>
        <v>0</v>
      </c>
      <c r="O151" s="213"/>
      <c r="P151" s="213"/>
      <c r="Q151" s="213"/>
      <c r="R151" s="114"/>
      <c r="T151" s="115"/>
      <c r="W151" s="116">
        <f>$W$152+SUM($W$153:$W$157)</f>
        <v>18.612985000000002</v>
      </c>
      <c r="Y151" s="116">
        <f>$Y$152+SUM($Y$153:$Y$157)</f>
        <v>13.462485000000001</v>
      </c>
      <c r="AA151" s="117">
        <f>$AA$152+SUM($AA$153:$AA$157)</f>
        <v>0</v>
      </c>
      <c r="AR151" s="113" t="s">
        <v>17</v>
      </c>
      <c r="AT151" s="113" t="s">
        <v>72</v>
      </c>
      <c r="AU151" s="113" t="s">
        <v>17</v>
      </c>
      <c r="AY151" s="113" t="s">
        <v>145</v>
      </c>
      <c r="BK151" s="118">
        <f>$BK$152+SUM($BK$153:$BK$157)</f>
        <v>0</v>
      </c>
    </row>
    <row r="152" spans="2:64" s="6" customFormat="1" ht="15.75" customHeight="1">
      <c r="B152" s="21"/>
      <c r="C152" s="120" t="s">
        <v>7</v>
      </c>
      <c r="D152" s="120" t="s">
        <v>146</v>
      </c>
      <c r="E152" s="121" t="s">
        <v>191</v>
      </c>
      <c r="F152" s="198" t="s">
        <v>192</v>
      </c>
      <c r="G152" s="199"/>
      <c r="H152" s="199"/>
      <c r="I152" s="199"/>
      <c r="J152" s="122" t="s">
        <v>149</v>
      </c>
      <c r="K152" s="123">
        <v>1.5</v>
      </c>
      <c r="L152" s="200">
        <v>0</v>
      </c>
      <c r="M152" s="199"/>
      <c r="N152" s="201">
        <f>ROUND($L$152*$K$152,2)</f>
        <v>0</v>
      </c>
      <c r="O152" s="199"/>
      <c r="P152" s="199"/>
      <c r="Q152" s="199"/>
      <c r="R152" s="22"/>
      <c r="T152" s="124"/>
      <c r="U152" s="125" t="s">
        <v>38</v>
      </c>
      <c r="V152" s="126">
        <v>1.658</v>
      </c>
      <c r="W152" s="126">
        <f>$V$152*$K$152</f>
        <v>2.487</v>
      </c>
      <c r="X152" s="126">
        <v>2.28955</v>
      </c>
      <c r="Y152" s="126">
        <f>$X$152*$K$152</f>
        <v>3.4343250000000003</v>
      </c>
      <c r="Z152" s="126">
        <v>0</v>
      </c>
      <c r="AA152" s="127">
        <f>$Z$152*$K$152</f>
        <v>0</v>
      </c>
      <c r="AR152" s="6" t="s">
        <v>150</v>
      </c>
      <c r="AT152" s="6" t="s">
        <v>146</v>
      </c>
      <c r="AU152" s="6" t="s">
        <v>100</v>
      </c>
      <c r="AY152" s="6" t="s">
        <v>145</v>
      </c>
      <c r="BE152" s="78">
        <f>IF($U$152="základní",$N$152,0)</f>
        <v>0</v>
      </c>
      <c r="BF152" s="78">
        <f>IF($U$152="snížená",$N$152,0)</f>
        <v>0</v>
      </c>
      <c r="BG152" s="78">
        <f>IF($U$152="zákl. přenesená",$N$152,0)</f>
        <v>0</v>
      </c>
      <c r="BH152" s="78">
        <f>IF($U$152="sníž. přenesená",$N$152,0)</f>
        <v>0</v>
      </c>
      <c r="BI152" s="78">
        <f>IF($U$152="nulová",$N$152,0)</f>
        <v>0</v>
      </c>
      <c r="BJ152" s="6" t="s">
        <v>17</v>
      </c>
      <c r="BK152" s="78">
        <f>ROUND($L$152*$K$152,2)</f>
        <v>0</v>
      </c>
      <c r="BL152" s="6" t="s">
        <v>150</v>
      </c>
    </row>
    <row r="153" spans="2:51" s="6" customFormat="1" ht="15.75" customHeight="1">
      <c r="B153" s="128"/>
      <c r="E153" s="129"/>
      <c r="F153" s="202" t="s">
        <v>193</v>
      </c>
      <c r="G153" s="203"/>
      <c r="H153" s="203"/>
      <c r="I153" s="203"/>
      <c r="K153" s="130">
        <v>1.5</v>
      </c>
      <c r="R153" s="131"/>
      <c r="T153" s="132"/>
      <c r="AA153" s="133"/>
      <c r="AT153" s="129" t="s">
        <v>152</v>
      </c>
      <c r="AU153" s="129" t="s">
        <v>100</v>
      </c>
      <c r="AV153" s="134" t="s">
        <v>100</v>
      </c>
      <c r="AW153" s="134" t="s">
        <v>109</v>
      </c>
      <c r="AX153" s="134" t="s">
        <v>73</v>
      </c>
      <c r="AY153" s="129" t="s">
        <v>145</v>
      </c>
    </row>
    <row r="154" spans="2:64" s="6" customFormat="1" ht="15.75" customHeight="1">
      <c r="B154" s="21"/>
      <c r="C154" s="120" t="s">
        <v>194</v>
      </c>
      <c r="D154" s="120" t="s">
        <v>146</v>
      </c>
      <c r="E154" s="121" t="s">
        <v>195</v>
      </c>
      <c r="F154" s="198" t="s">
        <v>196</v>
      </c>
      <c r="G154" s="199"/>
      <c r="H154" s="199"/>
      <c r="I154" s="199"/>
      <c r="J154" s="122" t="s">
        <v>197</v>
      </c>
      <c r="K154" s="123">
        <v>8</v>
      </c>
      <c r="L154" s="200">
        <v>0</v>
      </c>
      <c r="M154" s="199"/>
      <c r="N154" s="201">
        <f>ROUND($L$154*$K$154,2)</f>
        <v>0</v>
      </c>
      <c r="O154" s="199"/>
      <c r="P154" s="199"/>
      <c r="Q154" s="199"/>
      <c r="R154" s="22"/>
      <c r="T154" s="124"/>
      <c r="U154" s="125" t="s">
        <v>38</v>
      </c>
      <c r="V154" s="126">
        <v>1.699</v>
      </c>
      <c r="W154" s="126">
        <f>$V$154*$K$154</f>
        <v>13.592</v>
      </c>
      <c r="X154" s="126">
        <v>0.95352</v>
      </c>
      <c r="Y154" s="126">
        <f>$X$154*$K$154</f>
        <v>7.62816</v>
      </c>
      <c r="Z154" s="126">
        <v>0</v>
      </c>
      <c r="AA154" s="127">
        <f>$Z$154*$K$154</f>
        <v>0</v>
      </c>
      <c r="AR154" s="6" t="s">
        <v>150</v>
      </c>
      <c r="AT154" s="6" t="s">
        <v>146</v>
      </c>
      <c r="AU154" s="6" t="s">
        <v>100</v>
      </c>
      <c r="AY154" s="6" t="s">
        <v>145</v>
      </c>
      <c r="BE154" s="78">
        <f>IF($U$154="základní",$N$154,0)</f>
        <v>0</v>
      </c>
      <c r="BF154" s="78">
        <f>IF($U$154="snížená",$N$154,0)</f>
        <v>0</v>
      </c>
      <c r="BG154" s="78">
        <f>IF($U$154="zákl. přenesená",$N$154,0)</f>
        <v>0</v>
      </c>
      <c r="BH154" s="78">
        <f>IF($U$154="sníž. přenesená",$N$154,0)</f>
        <v>0</v>
      </c>
      <c r="BI154" s="78">
        <f>IF($U$154="nulová",$N$154,0)</f>
        <v>0</v>
      </c>
      <c r="BJ154" s="6" t="s">
        <v>17</v>
      </c>
      <c r="BK154" s="78">
        <f>ROUND($L$154*$K$154,2)</f>
        <v>0</v>
      </c>
      <c r="BL154" s="6" t="s">
        <v>150</v>
      </c>
    </row>
    <row r="155" spans="2:64" s="6" customFormat="1" ht="27" customHeight="1">
      <c r="B155" s="21"/>
      <c r="C155" s="135" t="s">
        <v>198</v>
      </c>
      <c r="D155" s="135" t="s">
        <v>163</v>
      </c>
      <c r="E155" s="136" t="s">
        <v>199</v>
      </c>
      <c r="F155" s="204" t="s">
        <v>200</v>
      </c>
      <c r="G155" s="205"/>
      <c r="H155" s="205"/>
      <c r="I155" s="205"/>
      <c r="J155" s="137" t="s">
        <v>201</v>
      </c>
      <c r="K155" s="138">
        <v>3</v>
      </c>
      <c r="L155" s="206">
        <v>0</v>
      </c>
      <c r="M155" s="205"/>
      <c r="N155" s="207">
        <f>ROUND($L$155*$K$155,2)</f>
        <v>0</v>
      </c>
      <c r="O155" s="199"/>
      <c r="P155" s="199"/>
      <c r="Q155" s="199"/>
      <c r="R155" s="22"/>
      <c r="T155" s="124"/>
      <c r="U155" s="125" t="s">
        <v>38</v>
      </c>
      <c r="V155" s="126">
        <v>0</v>
      </c>
      <c r="W155" s="126">
        <f>$V$155*$K$155</f>
        <v>0</v>
      </c>
      <c r="X155" s="126">
        <v>0.8</v>
      </c>
      <c r="Y155" s="126">
        <f>$X$155*$K$155</f>
        <v>2.4000000000000004</v>
      </c>
      <c r="Z155" s="126">
        <v>0</v>
      </c>
      <c r="AA155" s="127">
        <f>$Z$155*$K$155</f>
        <v>0</v>
      </c>
      <c r="AR155" s="6" t="s">
        <v>167</v>
      </c>
      <c r="AT155" s="6" t="s">
        <v>163</v>
      </c>
      <c r="AU155" s="6" t="s">
        <v>100</v>
      </c>
      <c r="AY155" s="6" t="s">
        <v>145</v>
      </c>
      <c r="BE155" s="78">
        <f>IF($U$155="základní",$N$155,0)</f>
        <v>0</v>
      </c>
      <c r="BF155" s="78">
        <f>IF($U$155="snížená",$N$155,0)</f>
        <v>0</v>
      </c>
      <c r="BG155" s="78">
        <f>IF($U$155="zákl. přenesená",$N$155,0)</f>
        <v>0</v>
      </c>
      <c r="BH155" s="78">
        <f>IF($U$155="sníž. přenesená",$N$155,0)</f>
        <v>0</v>
      </c>
      <c r="BI155" s="78">
        <f>IF($U$155="nulová",$N$155,0)</f>
        <v>0</v>
      </c>
      <c r="BJ155" s="6" t="s">
        <v>17</v>
      </c>
      <c r="BK155" s="78">
        <f>ROUND($L$155*$K$155,2)</f>
        <v>0</v>
      </c>
      <c r="BL155" s="6" t="s">
        <v>150</v>
      </c>
    </row>
    <row r="156" spans="2:64" s="6" customFormat="1" ht="27" customHeight="1">
      <c r="B156" s="21"/>
      <c r="C156" s="120" t="s">
        <v>202</v>
      </c>
      <c r="D156" s="120" t="s">
        <v>146</v>
      </c>
      <c r="E156" s="121" t="s">
        <v>203</v>
      </c>
      <c r="F156" s="198" t="s">
        <v>204</v>
      </c>
      <c r="G156" s="199"/>
      <c r="H156" s="199"/>
      <c r="I156" s="199"/>
      <c r="J156" s="122" t="s">
        <v>201</v>
      </c>
      <c r="K156" s="123">
        <v>1</v>
      </c>
      <c r="L156" s="200">
        <v>0</v>
      </c>
      <c r="M156" s="199"/>
      <c r="N156" s="201">
        <f>ROUND($L$156*$K$156,2)</f>
        <v>0</v>
      </c>
      <c r="O156" s="199"/>
      <c r="P156" s="199"/>
      <c r="Q156" s="199"/>
      <c r="R156" s="22"/>
      <c r="T156" s="124"/>
      <c r="U156" s="125" t="s">
        <v>38</v>
      </c>
      <c r="V156" s="126">
        <v>2.215</v>
      </c>
      <c r="W156" s="126">
        <f>$V$156*$K$156</f>
        <v>2.215</v>
      </c>
      <c r="X156" s="126">
        <v>0</v>
      </c>
      <c r="Y156" s="126">
        <f>$X$156*$K$156</f>
        <v>0</v>
      </c>
      <c r="Z156" s="126">
        <v>0</v>
      </c>
      <c r="AA156" s="127">
        <f>$Z$156*$K$156</f>
        <v>0</v>
      </c>
      <c r="AR156" s="6" t="s">
        <v>150</v>
      </c>
      <c r="AT156" s="6" t="s">
        <v>146</v>
      </c>
      <c r="AU156" s="6" t="s">
        <v>100</v>
      </c>
      <c r="AY156" s="6" t="s">
        <v>145</v>
      </c>
      <c r="BE156" s="78">
        <f>IF($U$156="základní",$N$156,0)</f>
        <v>0</v>
      </c>
      <c r="BF156" s="78">
        <f>IF($U$156="snížená",$N$156,0)</f>
        <v>0</v>
      </c>
      <c r="BG156" s="78">
        <f>IF($U$156="zákl. přenesená",$N$156,0)</f>
        <v>0</v>
      </c>
      <c r="BH156" s="78">
        <f>IF($U$156="sníž. přenesená",$N$156,0)</f>
        <v>0</v>
      </c>
      <c r="BI156" s="78">
        <f>IF($U$156="nulová",$N$156,0)</f>
        <v>0</v>
      </c>
      <c r="BJ156" s="6" t="s">
        <v>17</v>
      </c>
      <c r="BK156" s="78">
        <f>ROUND($L$156*$K$156,2)</f>
        <v>0</v>
      </c>
      <c r="BL156" s="6" t="s">
        <v>150</v>
      </c>
    </row>
    <row r="157" spans="2:63" s="110" customFormat="1" ht="23.25" customHeight="1">
      <c r="B157" s="111"/>
      <c r="D157" s="119" t="s">
        <v>115</v>
      </c>
      <c r="N157" s="214">
        <f>$BK$157</f>
        <v>0</v>
      </c>
      <c r="O157" s="213"/>
      <c r="P157" s="213"/>
      <c r="Q157" s="213"/>
      <c r="R157" s="114"/>
      <c r="T157" s="115"/>
      <c r="W157" s="116">
        <f>$W$158</f>
        <v>0.318985</v>
      </c>
      <c r="Y157" s="116">
        <f>$Y$158</f>
        <v>0</v>
      </c>
      <c r="AA157" s="117">
        <f>$AA$158</f>
        <v>0</v>
      </c>
      <c r="AR157" s="113" t="s">
        <v>17</v>
      </c>
      <c r="AT157" s="113" t="s">
        <v>72</v>
      </c>
      <c r="AU157" s="113" t="s">
        <v>100</v>
      </c>
      <c r="AY157" s="113" t="s">
        <v>145</v>
      </c>
      <c r="BK157" s="118">
        <f>$BK$158</f>
        <v>0</v>
      </c>
    </row>
    <row r="158" spans="2:64" s="6" customFormat="1" ht="39" customHeight="1">
      <c r="B158" s="21"/>
      <c r="C158" s="120" t="s">
        <v>8</v>
      </c>
      <c r="D158" s="120" t="s">
        <v>146</v>
      </c>
      <c r="E158" s="121" t="s">
        <v>205</v>
      </c>
      <c r="F158" s="198" t="s">
        <v>206</v>
      </c>
      <c r="G158" s="199"/>
      <c r="H158" s="199"/>
      <c r="I158" s="199"/>
      <c r="J158" s="122" t="s">
        <v>207</v>
      </c>
      <c r="K158" s="123">
        <v>63.797</v>
      </c>
      <c r="L158" s="200">
        <v>0</v>
      </c>
      <c r="M158" s="199"/>
      <c r="N158" s="201">
        <f>ROUND($L$158*$K$158,2)</f>
        <v>0</v>
      </c>
      <c r="O158" s="199"/>
      <c r="P158" s="199"/>
      <c r="Q158" s="199"/>
      <c r="R158" s="22"/>
      <c r="T158" s="124"/>
      <c r="U158" s="125" t="s">
        <v>38</v>
      </c>
      <c r="V158" s="126">
        <v>0.005</v>
      </c>
      <c r="W158" s="126">
        <f>$V$158*$K$158</f>
        <v>0.318985</v>
      </c>
      <c r="X158" s="126">
        <v>0</v>
      </c>
      <c r="Y158" s="126">
        <f>$X$158*$K$158</f>
        <v>0</v>
      </c>
      <c r="Z158" s="126">
        <v>0</v>
      </c>
      <c r="AA158" s="127">
        <f>$Z$158*$K$158</f>
        <v>0</v>
      </c>
      <c r="AR158" s="6" t="s">
        <v>150</v>
      </c>
      <c r="AT158" s="6" t="s">
        <v>146</v>
      </c>
      <c r="AU158" s="6" t="s">
        <v>155</v>
      </c>
      <c r="AY158" s="6" t="s">
        <v>145</v>
      </c>
      <c r="BE158" s="78">
        <f>IF($U$158="základní",$N$158,0)</f>
        <v>0</v>
      </c>
      <c r="BF158" s="78">
        <f>IF($U$158="snížená",$N$158,0)</f>
        <v>0</v>
      </c>
      <c r="BG158" s="78">
        <f>IF($U$158="zákl. přenesená",$N$158,0)</f>
        <v>0</v>
      </c>
      <c r="BH158" s="78">
        <f>IF($U$158="sníž. přenesená",$N$158,0)</f>
        <v>0</v>
      </c>
      <c r="BI158" s="78">
        <f>IF($U$158="nulová",$N$158,0)</f>
        <v>0</v>
      </c>
      <c r="BJ158" s="6" t="s">
        <v>17</v>
      </c>
      <c r="BK158" s="78">
        <f>ROUND($L$158*$K$158,2)</f>
        <v>0</v>
      </c>
      <c r="BL158" s="6" t="s">
        <v>150</v>
      </c>
    </row>
    <row r="159" spans="2:63" s="110" customFormat="1" ht="37.5" customHeight="1">
      <c r="B159" s="111"/>
      <c r="D159" s="112" t="s">
        <v>116</v>
      </c>
      <c r="N159" s="194">
        <f>$BK$159</f>
        <v>0</v>
      </c>
      <c r="O159" s="213"/>
      <c r="P159" s="213"/>
      <c r="Q159" s="213"/>
      <c r="R159" s="114"/>
      <c r="T159" s="115"/>
      <c r="W159" s="116">
        <f>$W$160+$W$163+$W$168</f>
        <v>386.95667199999997</v>
      </c>
      <c r="Y159" s="116">
        <f>$Y$160+$Y$163+$Y$168</f>
        <v>2.57032888</v>
      </c>
      <c r="AA159" s="117">
        <f>$AA$160+$AA$163+$AA$168</f>
        <v>0</v>
      </c>
      <c r="AR159" s="113" t="s">
        <v>100</v>
      </c>
      <c r="AT159" s="113" t="s">
        <v>72</v>
      </c>
      <c r="AU159" s="113" t="s">
        <v>73</v>
      </c>
      <c r="AY159" s="113" t="s">
        <v>145</v>
      </c>
      <c r="BK159" s="118">
        <f>$BK$160+$BK$163+$BK$168</f>
        <v>0</v>
      </c>
    </row>
    <row r="160" spans="2:63" s="110" customFormat="1" ht="21" customHeight="1">
      <c r="B160" s="111"/>
      <c r="D160" s="119" t="s">
        <v>117</v>
      </c>
      <c r="N160" s="214">
        <f>$BK$160</f>
        <v>0</v>
      </c>
      <c r="O160" s="213"/>
      <c r="P160" s="213"/>
      <c r="Q160" s="213"/>
      <c r="R160" s="114"/>
      <c r="T160" s="115"/>
      <c r="W160" s="116">
        <f>SUM($W$161:$W$162)</f>
        <v>0.252672</v>
      </c>
      <c r="Y160" s="116">
        <f>SUM($Y$161:$Y$162)</f>
        <v>2.6880000000000004E-05</v>
      </c>
      <c r="AA160" s="117">
        <f>SUM($AA$161:$AA$162)</f>
        <v>0</v>
      </c>
      <c r="AR160" s="113" t="s">
        <v>100</v>
      </c>
      <c r="AT160" s="113" t="s">
        <v>72</v>
      </c>
      <c r="AU160" s="113" t="s">
        <v>17</v>
      </c>
      <c r="AY160" s="113" t="s">
        <v>145</v>
      </c>
      <c r="BK160" s="118">
        <f>SUM($BK$161:$BK$162)</f>
        <v>0</v>
      </c>
    </row>
    <row r="161" spans="2:64" s="6" customFormat="1" ht="15.75" customHeight="1">
      <c r="B161" s="21"/>
      <c r="C161" s="120" t="s">
        <v>208</v>
      </c>
      <c r="D161" s="120" t="s">
        <v>146</v>
      </c>
      <c r="E161" s="121" t="s">
        <v>209</v>
      </c>
      <c r="F161" s="198" t="s">
        <v>210</v>
      </c>
      <c r="G161" s="199"/>
      <c r="H161" s="199"/>
      <c r="I161" s="199"/>
      <c r="J161" s="122" t="s">
        <v>149</v>
      </c>
      <c r="K161" s="123">
        <v>2.688</v>
      </c>
      <c r="L161" s="200">
        <v>0</v>
      </c>
      <c r="M161" s="199"/>
      <c r="N161" s="201">
        <f>ROUND($L$161*$K$161,2)</f>
        <v>0</v>
      </c>
      <c r="O161" s="199"/>
      <c r="P161" s="199"/>
      <c r="Q161" s="199"/>
      <c r="R161" s="22"/>
      <c r="T161" s="124"/>
      <c r="U161" s="125" t="s">
        <v>38</v>
      </c>
      <c r="V161" s="126">
        <v>0.094</v>
      </c>
      <c r="W161" s="126">
        <f>$V$161*$K$161</f>
        <v>0.252672</v>
      </c>
      <c r="X161" s="126">
        <v>1E-05</v>
      </c>
      <c r="Y161" s="126">
        <f>$X$161*$K$161</f>
        <v>2.6880000000000004E-05</v>
      </c>
      <c r="Z161" s="126">
        <v>0</v>
      </c>
      <c r="AA161" s="127">
        <f>$Z$161*$K$161</f>
        <v>0</v>
      </c>
      <c r="AR161" s="6" t="s">
        <v>211</v>
      </c>
      <c r="AT161" s="6" t="s">
        <v>146</v>
      </c>
      <c r="AU161" s="6" t="s">
        <v>100</v>
      </c>
      <c r="AY161" s="6" t="s">
        <v>145</v>
      </c>
      <c r="BE161" s="78">
        <f>IF($U$161="základní",$N$161,0)</f>
        <v>0</v>
      </c>
      <c r="BF161" s="78">
        <f>IF($U$161="snížená",$N$161,0)</f>
        <v>0</v>
      </c>
      <c r="BG161" s="78">
        <f>IF($U$161="zákl. přenesená",$N$161,0)</f>
        <v>0</v>
      </c>
      <c r="BH161" s="78">
        <f>IF($U$161="sníž. přenesená",$N$161,0)</f>
        <v>0</v>
      </c>
      <c r="BI161" s="78">
        <f>IF($U$161="nulová",$N$161,0)</f>
        <v>0</v>
      </c>
      <c r="BJ161" s="6" t="s">
        <v>17</v>
      </c>
      <c r="BK161" s="78">
        <f>ROUND($L$161*$K$161,2)</f>
        <v>0</v>
      </c>
      <c r="BL161" s="6" t="s">
        <v>211</v>
      </c>
    </row>
    <row r="162" spans="2:51" s="6" customFormat="1" ht="15.75" customHeight="1">
      <c r="B162" s="128"/>
      <c r="E162" s="129"/>
      <c r="F162" s="202" t="s">
        <v>212</v>
      </c>
      <c r="G162" s="203"/>
      <c r="H162" s="203"/>
      <c r="I162" s="203"/>
      <c r="K162" s="130">
        <v>2.688</v>
      </c>
      <c r="R162" s="131"/>
      <c r="T162" s="132"/>
      <c r="AA162" s="133"/>
      <c r="AT162" s="129" t="s">
        <v>152</v>
      </c>
      <c r="AU162" s="129" t="s">
        <v>100</v>
      </c>
      <c r="AV162" s="134" t="s">
        <v>100</v>
      </c>
      <c r="AW162" s="134" t="s">
        <v>109</v>
      </c>
      <c r="AX162" s="134" t="s">
        <v>73</v>
      </c>
      <c r="AY162" s="129" t="s">
        <v>145</v>
      </c>
    </row>
    <row r="163" spans="2:63" s="110" customFormat="1" ht="30.75" customHeight="1">
      <c r="B163" s="111"/>
      <c r="D163" s="119" t="s">
        <v>118</v>
      </c>
      <c r="N163" s="214">
        <f>$BK$163</f>
        <v>0</v>
      </c>
      <c r="O163" s="213"/>
      <c r="P163" s="213"/>
      <c r="Q163" s="213"/>
      <c r="R163" s="114"/>
      <c r="T163" s="115"/>
      <c r="W163" s="116">
        <f>SUM($W$164:$W$167)</f>
        <v>384.256</v>
      </c>
      <c r="Y163" s="116">
        <f>SUM($Y$164:$Y$167)</f>
        <v>2.570302</v>
      </c>
      <c r="AA163" s="117">
        <f>SUM($AA$164:$AA$167)</f>
        <v>0</v>
      </c>
      <c r="AR163" s="113" t="s">
        <v>100</v>
      </c>
      <c r="AT163" s="113" t="s">
        <v>72</v>
      </c>
      <c r="AU163" s="113" t="s">
        <v>17</v>
      </c>
      <c r="AY163" s="113" t="s">
        <v>145</v>
      </c>
      <c r="BK163" s="118">
        <f>SUM($BK$164:$BK$167)</f>
        <v>0</v>
      </c>
    </row>
    <row r="164" spans="2:64" s="6" customFormat="1" ht="27" customHeight="1">
      <c r="B164" s="21"/>
      <c r="C164" s="120" t="s">
        <v>211</v>
      </c>
      <c r="D164" s="120" t="s">
        <v>146</v>
      </c>
      <c r="E164" s="121" t="s">
        <v>213</v>
      </c>
      <c r="F164" s="198" t="s">
        <v>214</v>
      </c>
      <c r="G164" s="199"/>
      <c r="H164" s="199"/>
      <c r="I164" s="199"/>
      <c r="J164" s="122" t="s">
        <v>197</v>
      </c>
      <c r="K164" s="123">
        <v>192</v>
      </c>
      <c r="L164" s="200">
        <v>0</v>
      </c>
      <c r="M164" s="199"/>
      <c r="N164" s="201">
        <f>ROUND($L$164*$K$164,2)</f>
        <v>0</v>
      </c>
      <c r="O164" s="199"/>
      <c r="P164" s="199"/>
      <c r="Q164" s="199"/>
      <c r="R164" s="22"/>
      <c r="T164" s="124"/>
      <c r="U164" s="125" t="s">
        <v>38</v>
      </c>
      <c r="V164" s="126">
        <v>0.18</v>
      </c>
      <c r="W164" s="126">
        <f>$V$164*$K$164</f>
        <v>34.56</v>
      </c>
      <c r="X164" s="126">
        <v>0.00544</v>
      </c>
      <c r="Y164" s="126">
        <f>$X$164*$K$164</f>
        <v>1.04448</v>
      </c>
      <c r="Z164" s="126">
        <v>0</v>
      </c>
      <c r="AA164" s="127">
        <f>$Z$164*$K$164</f>
        <v>0</v>
      </c>
      <c r="AR164" s="6" t="s">
        <v>211</v>
      </c>
      <c r="AT164" s="6" t="s">
        <v>146</v>
      </c>
      <c r="AU164" s="6" t="s">
        <v>100</v>
      </c>
      <c r="AY164" s="6" t="s">
        <v>145</v>
      </c>
      <c r="BE164" s="78">
        <f>IF($U$164="základní",$N$164,0)</f>
        <v>0</v>
      </c>
      <c r="BF164" s="78">
        <f>IF($U$164="snížená",$N$164,0)</f>
        <v>0</v>
      </c>
      <c r="BG164" s="78">
        <f>IF($U$164="zákl. přenesená",$N$164,0)</f>
        <v>0</v>
      </c>
      <c r="BH164" s="78">
        <f>IF($U$164="sníž. přenesená",$N$164,0)</f>
        <v>0</v>
      </c>
      <c r="BI164" s="78">
        <f>IF($U$164="nulová",$N$164,0)</f>
        <v>0</v>
      </c>
      <c r="BJ164" s="6" t="s">
        <v>17</v>
      </c>
      <c r="BK164" s="78">
        <f>ROUND($L$164*$K$164,2)</f>
        <v>0</v>
      </c>
      <c r="BL164" s="6" t="s">
        <v>211</v>
      </c>
    </row>
    <row r="165" spans="2:51" s="6" customFormat="1" ht="15.75" customHeight="1">
      <c r="B165" s="128"/>
      <c r="E165" s="129"/>
      <c r="F165" s="202" t="s">
        <v>215</v>
      </c>
      <c r="G165" s="203"/>
      <c r="H165" s="203"/>
      <c r="I165" s="203"/>
      <c r="K165" s="130">
        <v>192</v>
      </c>
      <c r="R165" s="131"/>
      <c r="T165" s="132"/>
      <c r="AA165" s="133"/>
      <c r="AT165" s="129" t="s">
        <v>152</v>
      </c>
      <c r="AU165" s="129" t="s">
        <v>100</v>
      </c>
      <c r="AV165" s="134" t="s">
        <v>100</v>
      </c>
      <c r="AW165" s="134" t="s">
        <v>109</v>
      </c>
      <c r="AX165" s="134" t="s">
        <v>73</v>
      </c>
      <c r="AY165" s="129" t="s">
        <v>145</v>
      </c>
    </row>
    <row r="166" spans="2:64" s="6" customFormat="1" ht="15.75" customHeight="1">
      <c r="B166" s="21"/>
      <c r="C166" s="120" t="s">
        <v>216</v>
      </c>
      <c r="D166" s="120" t="s">
        <v>146</v>
      </c>
      <c r="E166" s="121" t="s">
        <v>217</v>
      </c>
      <c r="F166" s="198" t="s">
        <v>218</v>
      </c>
      <c r="G166" s="199"/>
      <c r="H166" s="199"/>
      <c r="I166" s="199"/>
      <c r="J166" s="122" t="s">
        <v>160</v>
      </c>
      <c r="K166" s="123">
        <v>136.6</v>
      </c>
      <c r="L166" s="200">
        <v>0</v>
      </c>
      <c r="M166" s="199"/>
      <c r="N166" s="201">
        <f>ROUND($L$166*$K$166,2)</f>
        <v>0</v>
      </c>
      <c r="O166" s="199"/>
      <c r="P166" s="199"/>
      <c r="Q166" s="199"/>
      <c r="R166" s="22"/>
      <c r="T166" s="124"/>
      <c r="U166" s="125" t="s">
        <v>38</v>
      </c>
      <c r="V166" s="126">
        <v>2.56</v>
      </c>
      <c r="W166" s="126">
        <f>$V$166*$K$166</f>
        <v>349.69599999999997</v>
      </c>
      <c r="X166" s="126">
        <v>0.01117</v>
      </c>
      <c r="Y166" s="126">
        <f>$X$166*$K$166</f>
        <v>1.5258219999999998</v>
      </c>
      <c r="Z166" s="126">
        <v>0</v>
      </c>
      <c r="AA166" s="127">
        <f>$Z$166*$K$166</f>
        <v>0</v>
      </c>
      <c r="AR166" s="6" t="s">
        <v>211</v>
      </c>
      <c r="AT166" s="6" t="s">
        <v>146</v>
      </c>
      <c r="AU166" s="6" t="s">
        <v>100</v>
      </c>
      <c r="AY166" s="6" t="s">
        <v>145</v>
      </c>
      <c r="BE166" s="78">
        <f>IF($U$166="základní",$N$166,0)</f>
        <v>0</v>
      </c>
      <c r="BF166" s="78">
        <f>IF($U$166="snížená",$N$166,0)</f>
        <v>0</v>
      </c>
      <c r="BG166" s="78">
        <f>IF($U$166="zákl. přenesená",$N$166,0)</f>
        <v>0</v>
      </c>
      <c r="BH166" s="78">
        <f>IF($U$166="sníž. přenesená",$N$166,0)</f>
        <v>0</v>
      </c>
      <c r="BI166" s="78">
        <f>IF($U$166="nulová",$N$166,0)</f>
        <v>0</v>
      </c>
      <c r="BJ166" s="6" t="s">
        <v>17</v>
      </c>
      <c r="BK166" s="78">
        <f>ROUND($L$166*$K$166,2)</f>
        <v>0</v>
      </c>
      <c r="BL166" s="6" t="s">
        <v>211</v>
      </c>
    </row>
    <row r="167" spans="2:51" s="6" customFormat="1" ht="15.75" customHeight="1">
      <c r="B167" s="128"/>
      <c r="E167" s="129"/>
      <c r="F167" s="202" t="s">
        <v>219</v>
      </c>
      <c r="G167" s="203"/>
      <c r="H167" s="203"/>
      <c r="I167" s="203"/>
      <c r="K167" s="130">
        <v>136.6</v>
      </c>
      <c r="R167" s="131"/>
      <c r="T167" s="132"/>
      <c r="AA167" s="133"/>
      <c r="AT167" s="129" t="s">
        <v>152</v>
      </c>
      <c r="AU167" s="129" t="s">
        <v>100</v>
      </c>
      <c r="AV167" s="134" t="s">
        <v>100</v>
      </c>
      <c r="AW167" s="134" t="s">
        <v>109</v>
      </c>
      <c r="AX167" s="134" t="s">
        <v>73</v>
      </c>
      <c r="AY167" s="129" t="s">
        <v>145</v>
      </c>
    </row>
    <row r="168" spans="2:63" s="110" customFormat="1" ht="30.75" customHeight="1">
      <c r="B168" s="111"/>
      <c r="D168" s="119" t="s">
        <v>119</v>
      </c>
      <c r="N168" s="214">
        <f>$BK$168</f>
        <v>0</v>
      </c>
      <c r="O168" s="213"/>
      <c r="P168" s="213"/>
      <c r="Q168" s="213"/>
      <c r="R168" s="114"/>
      <c r="T168" s="115"/>
      <c r="W168" s="116">
        <f>SUM($W$169:$W$170)</f>
        <v>2.448</v>
      </c>
      <c r="Y168" s="116">
        <f>SUM($Y$169:$Y$170)</f>
        <v>0</v>
      </c>
      <c r="AA168" s="117">
        <f>SUM($AA$169:$AA$170)</f>
        <v>0</v>
      </c>
      <c r="AR168" s="113" t="s">
        <v>100</v>
      </c>
      <c r="AT168" s="113" t="s">
        <v>72</v>
      </c>
      <c r="AU168" s="113" t="s">
        <v>17</v>
      </c>
      <c r="AY168" s="113" t="s">
        <v>145</v>
      </c>
      <c r="BK168" s="118">
        <f>SUM($BK$169:$BK$170)</f>
        <v>0</v>
      </c>
    </row>
    <row r="169" spans="2:64" s="6" customFormat="1" ht="15.75" customHeight="1">
      <c r="B169" s="21"/>
      <c r="C169" s="120" t="s">
        <v>220</v>
      </c>
      <c r="D169" s="120" t="s">
        <v>146</v>
      </c>
      <c r="E169" s="121" t="s">
        <v>221</v>
      </c>
      <c r="F169" s="198" t="s">
        <v>222</v>
      </c>
      <c r="G169" s="199"/>
      <c r="H169" s="199"/>
      <c r="I169" s="199"/>
      <c r="J169" s="122" t="s">
        <v>197</v>
      </c>
      <c r="K169" s="123">
        <v>16</v>
      </c>
      <c r="L169" s="200">
        <v>0</v>
      </c>
      <c r="M169" s="199"/>
      <c r="N169" s="201">
        <f>ROUND($L$169*$K$169,2)</f>
        <v>0</v>
      </c>
      <c r="O169" s="199"/>
      <c r="P169" s="199"/>
      <c r="Q169" s="199"/>
      <c r="R169" s="22"/>
      <c r="T169" s="124"/>
      <c r="U169" s="125" t="s">
        <v>38</v>
      </c>
      <c r="V169" s="126">
        <v>0.153</v>
      </c>
      <c r="W169" s="126">
        <f>$V$169*$K$169</f>
        <v>2.448</v>
      </c>
      <c r="X169" s="126">
        <v>0</v>
      </c>
      <c r="Y169" s="126">
        <f>$X$169*$K$169</f>
        <v>0</v>
      </c>
      <c r="Z169" s="126">
        <v>0</v>
      </c>
      <c r="AA169" s="127">
        <f>$Z$169*$K$169</f>
        <v>0</v>
      </c>
      <c r="AR169" s="6" t="s">
        <v>211</v>
      </c>
      <c r="AT169" s="6" t="s">
        <v>146</v>
      </c>
      <c r="AU169" s="6" t="s">
        <v>100</v>
      </c>
      <c r="AY169" s="6" t="s">
        <v>145</v>
      </c>
      <c r="BE169" s="78">
        <f>IF($U$169="základní",$N$169,0)</f>
        <v>0</v>
      </c>
      <c r="BF169" s="78">
        <f>IF($U$169="snížená",$N$169,0)</f>
        <v>0</v>
      </c>
      <c r="BG169" s="78">
        <f>IF($U$169="zákl. přenesená",$N$169,0)</f>
        <v>0</v>
      </c>
      <c r="BH169" s="78">
        <f>IF($U$169="sníž. přenesená",$N$169,0)</f>
        <v>0</v>
      </c>
      <c r="BI169" s="78">
        <f>IF($U$169="nulová",$N$169,0)</f>
        <v>0</v>
      </c>
      <c r="BJ169" s="6" t="s">
        <v>17</v>
      </c>
      <c r="BK169" s="78">
        <f>ROUND($L$169*$K$169,2)</f>
        <v>0</v>
      </c>
      <c r="BL169" s="6" t="s">
        <v>211</v>
      </c>
    </row>
    <row r="170" spans="2:51" s="6" customFormat="1" ht="15.75" customHeight="1">
      <c r="B170" s="128"/>
      <c r="E170" s="129"/>
      <c r="F170" s="202" t="s">
        <v>223</v>
      </c>
      <c r="G170" s="203"/>
      <c r="H170" s="203"/>
      <c r="I170" s="203"/>
      <c r="K170" s="130">
        <v>16</v>
      </c>
      <c r="R170" s="131"/>
      <c r="T170" s="132"/>
      <c r="AA170" s="133"/>
      <c r="AT170" s="129" t="s">
        <v>152</v>
      </c>
      <c r="AU170" s="129" t="s">
        <v>100</v>
      </c>
      <c r="AV170" s="134" t="s">
        <v>100</v>
      </c>
      <c r="AW170" s="134" t="s">
        <v>109</v>
      </c>
      <c r="AX170" s="134" t="s">
        <v>73</v>
      </c>
      <c r="AY170" s="129" t="s">
        <v>145</v>
      </c>
    </row>
    <row r="171" spans="2:63" s="6" customFormat="1" ht="51" customHeight="1">
      <c r="B171" s="21"/>
      <c r="D171" s="112" t="s">
        <v>224</v>
      </c>
      <c r="N171" s="194">
        <f>$BK$171</f>
        <v>0</v>
      </c>
      <c r="O171" s="154"/>
      <c r="P171" s="154"/>
      <c r="Q171" s="154"/>
      <c r="R171" s="22"/>
      <c r="T171" s="53"/>
      <c r="AA171" s="54"/>
      <c r="AT171" s="6" t="s">
        <v>72</v>
      </c>
      <c r="AU171" s="6" t="s">
        <v>73</v>
      </c>
      <c r="AY171" s="6" t="s">
        <v>225</v>
      </c>
      <c r="BK171" s="78">
        <f>SUM($BK$172:$BK$176)</f>
        <v>0</v>
      </c>
    </row>
    <row r="172" spans="2:63" s="6" customFormat="1" ht="23.25" customHeight="1">
      <c r="B172" s="21"/>
      <c r="C172" s="145"/>
      <c r="D172" s="145" t="s">
        <v>146</v>
      </c>
      <c r="E172" s="146"/>
      <c r="F172" s="210"/>
      <c r="G172" s="211"/>
      <c r="H172" s="211"/>
      <c r="I172" s="211"/>
      <c r="J172" s="147"/>
      <c r="K172" s="148"/>
      <c r="L172" s="200"/>
      <c r="M172" s="199"/>
      <c r="N172" s="201">
        <f>$BK$172</f>
        <v>0</v>
      </c>
      <c r="O172" s="199"/>
      <c r="P172" s="199"/>
      <c r="Q172" s="199"/>
      <c r="R172" s="22"/>
      <c r="T172" s="124"/>
      <c r="U172" s="149" t="s">
        <v>38</v>
      </c>
      <c r="AA172" s="54"/>
      <c r="AT172" s="6" t="s">
        <v>225</v>
      </c>
      <c r="AU172" s="6" t="s">
        <v>17</v>
      </c>
      <c r="AY172" s="6" t="s">
        <v>225</v>
      </c>
      <c r="BE172" s="78">
        <f>IF($U$172="základní",$N$172,0)</f>
        <v>0</v>
      </c>
      <c r="BF172" s="78">
        <f>IF($U$172="snížená",$N$172,0)</f>
        <v>0</v>
      </c>
      <c r="BG172" s="78">
        <f>IF($U$172="zákl. přenesená",$N$172,0)</f>
        <v>0</v>
      </c>
      <c r="BH172" s="78">
        <f>IF($U$172="sníž. přenesená",$N$172,0)</f>
        <v>0</v>
      </c>
      <c r="BI172" s="78">
        <f>IF($U$172="nulová",$N$172,0)</f>
        <v>0</v>
      </c>
      <c r="BJ172" s="6" t="s">
        <v>17</v>
      </c>
      <c r="BK172" s="78">
        <f>$L$172*$K$172</f>
        <v>0</v>
      </c>
    </row>
    <row r="173" spans="2:63" s="6" customFormat="1" ht="23.25" customHeight="1">
      <c r="B173" s="21"/>
      <c r="C173" s="145"/>
      <c r="D173" s="145" t="s">
        <v>146</v>
      </c>
      <c r="E173" s="146"/>
      <c r="F173" s="210"/>
      <c r="G173" s="211"/>
      <c r="H173" s="211"/>
      <c r="I173" s="211"/>
      <c r="J173" s="147"/>
      <c r="K173" s="148"/>
      <c r="L173" s="200"/>
      <c r="M173" s="199"/>
      <c r="N173" s="201">
        <f>$BK$173</f>
        <v>0</v>
      </c>
      <c r="O173" s="199"/>
      <c r="P173" s="199"/>
      <c r="Q173" s="199"/>
      <c r="R173" s="22"/>
      <c r="T173" s="124"/>
      <c r="U173" s="149" t="s">
        <v>38</v>
      </c>
      <c r="AA173" s="54"/>
      <c r="AT173" s="6" t="s">
        <v>225</v>
      </c>
      <c r="AU173" s="6" t="s">
        <v>17</v>
      </c>
      <c r="AY173" s="6" t="s">
        <v>225</v>
      </c>
      <c r="BE173" s="78">
        <f>IF($U$173="základní",$N$173,0)</f>
        <v>0</v>
      </c>
      <c r="BF173" s="78">
        <f>IF($U$173="snížená",$N$173,0)</f>
        <v>0</v>
      </c>
      <c r="BG173" s="78">
        <f>IF($U$173="zákl. přenesená",$N$173,0)</f>
        <v>0</v>
      </c>
      <c r="BH173" s="78">
        <f>IF($U$173="sníž. přenesená",$N$173,0)</f>
        <v>0</v>
      </c>
      <c r="BI173" s="78">
        <f>IF($U$173="nulová",$N$173,0)</f>
        <v>0</v>
      </c>
      <c r="BJ173" s="6" t="s">
        <v>17</v>
      </c>
      <c r="BK173" s="78">
        <f>$L$173*$K$173</f>
        <v>0</v>
      </c>
    </row>
    <row r="174" spans="2:63" s="6" customFormat="1" ht="23.25" customHeight="1">
      <c r="B174" s="21"/>
      <c r="C174" s="145"/>
      <c r="D174" s="145" t="s">
        <v>146</v>
      </c>
      <c r="E174" s="146"/>
      <c r="F174" s="210"/>
      <c r="G174" s="211"/>
      <c r="H174" s="211"/>
      <c r="I174" s="211"/>
      <c r="J174" s="147"/>
      <c r="K174" s="148"/>
      <c r="L174" s="200"/>
      <c r="M174" s="199"/>
      <c r="N174" s="201">
        <f>$BK$174</f>
        <v>0</v>
      </c>
      <c r="O174" s="199"/>
      <c r="P174" s="199"/>
      <c r="Q174" s="199"/>
      <c r="R174" s="22"/>
      <c r="T174" s="124"/>
      <c r="U174" s="149" t="s">
        <v>38</v>
      </c>
      <c r="AA174" s="54"/>
      <c r="AT174" s="6" t="s">
        <v>225</v>
      </c>
      <c r="AU174" s="6" t="s">
        <v>17</v>
      </c>
      <c r="AY174" s="6" t="s">
        <v>225</v>
      </c>
      <c r="BE174" s="78">
        <f>IF($U$174="základní",$N$174,0)</f>
        <v>0</v>
      </c>
      <c r="BF174" s="78">
        <f>IF($U$174="snížená",$N$174,0)</f>
        <v>0</v>
      </c>
      <c r="BG174" s="78">
        <f>IF($U$174="zákl. přenesená",$N$174,0)</f>
        <v>0</v>
      </c>
      <c r="BH174" s="78">
        <f>IF($U$174="sníž. přenesená",$N$174,0)</f>
        <v>0</v>
      </c>
      <c r="BI174" s="78">
        <f>IF($U$174="nulová",$N$174,0)</f>
        <v>0</v>
      </c>
      <c r="BJ174" s="6" t="s">
        <v>17</v>
      </c>
      <c r="BK174" s="78">
        <f>$L$174*$K$174</f>
        <v>0</v>
      </c>
    </row>
    <row r="175" spans="2:63" s="6" customFormat="1" ht="23.25" customHeight="1">
      <c r="B175" s="21"/>
      <c r="C175" s="145"/>
      <c r="D175" s="145" t="s">
        <v>146</v>
      </c>
      <c r="E175" s="146"/>
      <c r="F175" s="210"/>
      <c r="G175" s="211"/>
      <c r="H175" s="211"/>
      <c r="I175" s="211"/>
      <c r="J175" s="147"/>
      <c r="K175" s="148"/>
      <c r="L175" s="200"/>
      <c r="M175" s="199"/>
      <c r="N175" s="201">
        <f>$BK$175</f>
        <v>0</v>
      </c>
      <c r="O175" s="199"/>
      <c r="P175" s="199"/>
      <c r="Q175" s="199"/>
      <c r="R175" s="22"/>
      <c r="T175" s="124"/>
      <c r="U175" s="149" t="s">
        <v>38</v>
      </c>
      <c r="AA175" s="54"/>
      <c r="AT175" s="6" t="s">
        <v>225</v>
      </c>
      <c r="AU175" s="6" t="s">
        <v>17</v>
      </c>
      <c r="AY175" s="6" t="s">
        <v>225</v>
      </c>
      <c r="BE175" s="78">
        <f>IF($U$175="základní",$N$175,0)</f>
        <v>0</v>
      </c>
      <c r="BF175" s="78">
        <f>IF($U$175="snížená",$N$175,0)</f>
        <v>0</v>
      </c>
      <c r="BG175" s="78">
        <f>IF($U$175="zákl. přenesená",$N$175,0)</f>
        <v>0</v>
      </c>
      <c r="BH175" s="78">
        <f>IF($U$175="sníž. přenesená",$N$175,0)</f>
        <v>0</v>
      </c>
      <c r="BI175" s="78">
        <f>IF($U$175="nulová",$N$175,0)</f>
        <v>0</v>
      </c>
      <c r="BJ175" s="6" t="s">
        <v>17</v>
      </c>
      <c r="BK175" s="78">
        <f>$L$175*$K$175</f>
        <v>0</v>
      </c>
    </row>
    <row r="176" spans="2:63" s="6" customFormat="1" ht="23.25" customHeight="1">
      <c r="B176" s="21"/>
      <c r="C176" s="145"/>
      <c r="D176" s="145" t="s">
        <v>146</v>
      </c>
      <c r="E176" s="146"/>
      <c r="F176" s="210"/>
      <c r="G176" s="211"/>
      <c r="H176" s="211"/>
      <c r="I176" s="211"/>
      <c r="J176" s="147"/>
      <c r="K176" s="148"/>
      <c r="L176" s="200"/>
      <c r="M176" s="199"/>
      <c r="N176" s="201">
        <f>$BK$176</f>
        <v>0</v>
      </c>
      <c r="O176" s="199"/>
      <c r="P176" s="199"/>
      <c r="Q176" s="199"/>
      <c r="R176" s="22"/>
      <c r="T176" s="124"/>
      <c r="U176" s="149" t="s">
        <v>38</v>
      </c>
      <c r="V176" s="40"/>
      <c r="W176" s="40"/>
      <c r="X176" s="40"/>
      <c r="Y176" s="40"/>
      <c r="Z176" s="40"/>
      <c r="AA176" s="42"/>
      <c r="AT176" s="6" t="s">
        <v>225</v>
      </c>
      <c r="AU176" s="6" t="s">
        <v>17</v>
      </c>
      <c r="AY176" s="6" t="s">
        <v>225</v>
      </c>
      <c r="BE176" s="78">
        <f>IF($U$176="základní",$N$176,0)</f>
        <v>0</v>
      </c>
      <c r="BF176" s="78">
        <f>IF($U$176="snížená",$N$176,0)</f>
        <v>0</v>
      </c>
      <c r="BG176" s="78">
        <f>IF($U$176="zákl. přenesená",$N$176,0)</f>
        <v>0</v>
      </c>
      <c r="BH176" s="78">
        <f>IF($U$176="sníž. přenesená",$N$176,0)</f>
        <v>0</v>
      </c>
      <c r="BI176" s="78">
        <f>IF($U$176="nulová",$N$176,0)</f>
        <v>0</v>
      </c>
      <c r="BJ176" s="6" t="s">
        <v>17</v>
      </c>
      <c r="BK176" s="78">
        <f>$L$176*$K$176</f>
        <v>0</v>
      </c>
    </row>
    <row r="177" spans="2:18" s="6" customFormat="1" ht="7.5" customHeight="1">
      <c r="B177" s="43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5"/>
    </row>
    <row r="178" s="2" customFormat="1" ht="14.25" customHeight="1"/>
  </sheetData>
  <mergeCells count="173">
    <mergeCell ref="N171:Q171"/>
    <mergeCell ref="H1:K1"/>
    <mergeCell ref="S2:AC2"/>
    <mergeCell ref="N159:Q159"/>
    <mergeCell ref="N160:Q160"/>
    <mergeCell ref="N163:Q163"/>
    <mergeCell ref="N168:Q168"/>
    <mergeCell ref="F176:I176"/>
    <mergeCell ref="L176:M176"/>
    <mergeCell ref="N176:Q176"/>
    <mergeCell ref="N126:Q126"/>
    <mergeCell ref="N127:Q127"/>
    <mergeCell ref="N128:Q128"/>
    <mergeCell ref="N145:Q145"/>
    <mergeCell ref="N148:Q148"/>
    <mergeCell ref="N151:Q151"/>
    <mergeCell ref="N157:Q15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69:I169"/>
    <mergeCell ref="L169:M169"/>
    <mergeCell ref="N169:Q169"/>
    <mergeCell ref="F170:I170"/>
    <mergeCell ref="F166:I166"/>
    <mergeCell ref="L166:M166"/>
    <mergeCell ref="N166:Q166"/>
    <mergeCell ref="F167:I167"/>
    <mergeCell ref="F164:I164"/>
    <mergeCell ref="L164:M164"/>
    <mergeCell ref="N164:Q164"/>
    <mergeCell ref="F165:I165"/>
    <mergeCell ref="F161:I161"/>
    <mergeCell ref="L161:M161"/>
    <mergeCell ref="N161:Q161"/>
    <mergeCell ref="F162:I162"/>
    <mergeCell ref="F156:I156"/>
    <mergeCell ref="L156:M156"/>
    <mergeCell ref="N156:Q156"/>
    <mergeCell ref="F158:I158"/>
    <mergeCell ref="L158:M158"/>
    <mergeCell ref="N158:Q158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F149:I149"/>
    <mergeCell ref="L149:M149"/>
    <mergeCell ref="N149:Q149"/>
    <mergeCell ref="F150:I150"/>
    <mergeCell ref="F146:I146"/>
    <mergeCell ref="L146:M146"/>
    <mergeCell ref="N146:Q146"/>
    <mergeCell ref="F147:I147"/>
    <mergeCell ref="F143:I143"/>
    <mergeCell ref="F144:I144"/>
    <mergeCell ref="L144:M144"/>
    <mergeCell ref="N144:Q144"/>
    <mergeCell ref="F141:I141"/>
    <mergeCell ref="L141:M141"/>
    <mergeCell ref="N141:Q141"/>
    <mergeCell ref="F142:I142"/>
    <mergeCell ref="F139:I139"/>
    <mergeCell ref="L139:M139"/>
    <mergeCell ref="N139:Q139"/>
    <mergeCell ref="F140:I140"/>
    <mergeCell ref="F137:I137"/>
    <mergeCell ref="L137:M137"/>
    <mergeCell ref="N137:Q137"/>
    <mergeCell ref="F138:I138"/>
    <mergeCell ref="F135:I135"/>
    <mergeCell ref="L135:M135"/>
    <mergeCell ref="N135:Q135"/>
    <mergeCell ref="F136:I136"/>
    <mergeCell ref="F133:I133"/>
    <mergeCell ref="L133:M133"/>
    <mergeCell ref="N133:Q133"/>
    <mergeCell ref="F134:I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M122:Q122"/>
    <mergeCell ref="M123:Q123"/>
    <mergeCell ref="F125:I125"/>
    <mergeCell ref="L125:M125"/>
    <mergeCell ref="N125:Q125"/>
    <mergeCell ref="C115:Q115"/>
    <mergeCell ref="F117:P117"/>
    <mergeCell ref="F118:P118"/>
    <mergeCell ref="M120:P120"/>
    <mergeCell ref="D106:H106"/>
    <mergeCell ref="N106:Q106"/>
    <mergeCell ref="N107:Q107"/>
    <mergeCell ref="L109:Q109"/>
    <mergeCell ref="D104:H104"/>
    <mergeCell ref="N104:Q104"/>
    <mergeCell ref="D105:H105"/>
    <mergeCell ref="N105:Q105"/>
    <mergeCell ref="D102:H102"/>
    <mergeCell ref="N102:Q102"/>
    <mergeCell ref="D103:H103"/>
    <mergeCell ref="N103:Q103"/>
    <mergeCell ref="N97:Q97"/>
    <mergeCell ref="N98:Q98"/>
    <mergeCell ref="N99:Q99"/>
    <mergeCell ref="N101:Q101"/>
    <mergeCell ref="N93:Q93"/>
    <mergeCell ref="N94:Q94"/>
    <mergeCell ref="N95:Q95"/>
    <mergeCell ref="N96:Q96"/>
    <mergeCell ref="N89:Q89"/>
    <mergeCell ref="N90:Q90"/>
    <mergeCell ref="N91:Q91"/>
    <mergeCell ref="N92:Q92"/>
    <mergeCell ref="M84:Q84"/>
    <mergeCell ref="C86:G86"/>
    <mergeCell ref="N86:Q86"/>
    <mergeCell ref="N88:Q88"/>
    <mergeCell ref="F78:P78"/>
    <mergeCell ref="F79:P79"/>
    <mergeCell ref="M81:P81"/>
    <mergeCell ref="M83:Q83"/>
    <mergeCell ref="H33:J33"/>
    <mergeCell ref="M33:P33"/>
    <mergeCell ref="L35:P35"/>
    <mergeCell ref="C76:Q76"/>
    <mergeCell ref="H31:J31"/>
    <mergeCell ref="M31:P31"/>
    <mergeCell ref="H32:J32"/>
    <mergeCell ref="M32:P32"/>
    <mergeCell ref="M27:P27"/>
    <mergeCell ref="H29:J29"/>
    <mergeCell ref="M29:P29"/>
    <mergeCell ref="H30:J30"/>
    <mergeCell ref="M30:P30"/>
    <mergeCell ref="O20:P20"/>
    <mergeCell ref="O21:P21"/>
    <mergeCell ref="M24:P24"/>
    <mergeCell ref="M25:P25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dataValidations count="2">
    <dataValidation type="list" allowBlank="1" showInputMessage="1" showErrorMessage="1" error="Povoleny jsou hodnoty K a M." sqref="D172:D177">
      <formula1>"K,M"</formula1>
    </dataValidation>
    <dataValidation type="list" allowBlank="1" showInputMessage="1" showErrorMessage="1" error="Povoleny jsou hodnoty základní, snížená, zákl. přenesená, sníž. přenesená, nulová." sqref="U172:U17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5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Martin Valečka</cp:lastModifiedBy>
  <dcterms:modified xsi:type="dcterms:W3CDTF">2013-05-29T10:53:19Z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