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4"/>
  </bookViews>
  <sheets>
    <sheet name="Krycí list rozpočtu" sheetId="1" r:id="rId1"/>
    <sheet name="Stavební rozpočet - součet" sheetId="2" r:id="rId2"/>
    <sheet name="Stavební rozpočet" sheetId="3" r:id="rId3"/>
    <sheet name="Rozpočet - vybrané sloupce" sheetId="4" state="hidden" r:id="rId4"/>
    <sheet name="Výkaz výměr" sheetId="5" r:id="rId5"/>
  </sheets>
  <definedNames/>
  <calcPr fullCalcOnLoad="1"/>
</workbook>
</file>

<file path=xl/sharedStrings.xml><?xml version="1.0" encoding="utf-8"?>
<sst xmlns="http://schemas.openxmlformats.org/spreadsheetml/2006/main" count="8034" uniqueCount="1394">
  <si>
    <t>Slepý stavební rozpočet</t>
  </si>
  <si>
    <t>Název stavby:</t>
  </si>
  <si>
    <t>Druh stavby:</t>
  </si>
  <si>
    <t>Lokalita:</t>
  </si>
  <si>
    <t>JKSO:</t>
  </si>
  <si>
    <t>Č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</si>
  <si>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</si>
  <si>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</si>
  <si>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</si>
  <si>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</si>
  <si>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</si>
  <si>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</si>
  <si>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</si>
  <si>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</si>
  <si>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</si>
  <si>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</si>
  <si>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</si>
  <si>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</si>
  <si>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</si>
  <si>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</si>
  <si>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</si>
  <si>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</si>
  <si>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</si>
  <si>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</si>
  <si>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</si>
  <si>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</si>
  <si>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</si>
  <si>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</si>
  <si>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</si>
  <si>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</si>
  <si>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</si>
  <si>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</si>
  <si>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</si>
  <si>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</si>
  <si>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</si>
  <si>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</si>
  <si>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</si>
  <si>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</si>
  <si>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</si>
  <si>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</si>
  <si>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</si>
  <si>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</si>
  <si>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</si>
  <si>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</si>
  <si>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</si>
  <si>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</si>
  <si>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</si>
  <si>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</si>
  <si>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</si>
  <si>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</si>
  <si>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</si>
  <si>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</si>
  <si>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</si>
  <si>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</si>
  <si>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</si>
  <si>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</si>
  <si>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</si>
  <si>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</si>
  <si>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</si>
  <si>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</si>
  <si>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</si>
  <si>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</si>
  <si>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</si>
  <si>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</si>
  <si>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</si>
  <si>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</si>
  <si>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</si>
  <si>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</si>
  <si>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</si>
  <si>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</si>
  <si>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</si>
  <si>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</si>
  <si>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</si>
  <si>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</si>
  <si>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</si>
  <si>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</si>
  <si>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</si>
  <si>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</si>
  <si>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</si>
  <si>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</si>
  <si>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</si>
  <si>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</si>
  <si>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</si>
  <si>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</si>
  <si>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</si>
  <si>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</si>
  <si>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</si>
  <si>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</si>
  <si>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</si>
  <si>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</si>
  <si>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</si>
  <si>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</si>
  <si>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</si>
  <si>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</si>
  <si>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</si>
  <si>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</si>
  <si>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</si>
  <si>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</si>
  <si>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</si>
  <si>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</si>
  <si>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</si>
  <si>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</si>
  <si>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</si>
  <si>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</si>
  <si>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</si>
  <si>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</si>
  <si>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</si>
  <si>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</si>
  <si>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</si>
  <si>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</si>
  <si>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</si>
  <si>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</si>
  <si>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</si>
  <si>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</si>
  <si>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</si>
  <si>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</si>
  <si>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</si>
  <si>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</si>
  <si>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</si>
  <si>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</si>
  <si>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</si>
  <si>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</si>
  <si>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</si>
  <si>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</si>
  <si>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</si>
  <si>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</si>
  <si>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</si>
  <si>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</si>
  <si>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</si>
  <si>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</si>
  <si>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</si>
  <si>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</si>
  <si>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</si>
  <si>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</si>
  <si>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</si>
  <si>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</si>
  <si>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</si>
  <si>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</si>
  <si>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</si>
  <si>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</si>
  <si>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</si>
  <si>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</si>
  <si>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</si>
  <si>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</si>
  <si>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</si>
  <si>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</si>
  <si>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</si>
  <si>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</si>
  <si>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</si>
  <si>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</si>
  <si>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</si>
  <si>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</si>
  <si>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</si>
  <si>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</si>
  <si>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</si>
  <si>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</si>
  <si>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</si>
  <si>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</si>
  <si>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</si>
  <si>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</si>
  <si>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</si>
  <si>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</si>
  <si>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</si>
  <si>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</si>
  <si>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</si>
  <si>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</si>
  <si>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</si>
  <si>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</si>
  <si>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</si>
  <si>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</si>
  <si>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</si>
  <si>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</si>
  <si>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</si>
  <si>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</si>
  <si>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</si>
  <si>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</si>
  <si>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</si>
  <si>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</si>
  <si>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</si>
  <si>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</si>
  <si>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</si>
  <si>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</si>
  <si>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</si>
  <si>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</si>
  <si>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</si>
  <si>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</si>
  <si>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</si>
  <si>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</si>
  <si>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</si>
  <si>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</si>
  <si>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</si>
  <si>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</si>
  <si>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</si>
  <si>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</si>
  <si>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</si>
  <si>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</si>
  <si>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</si>
  <si>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</si>
  <si>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</si>
  <si>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</si>
  <si>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</si>
  <si>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</si>
  <si>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</si>
  <si>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</si>
  <si>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</si>
  <si>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</si>
  <si>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</si>
  <si>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</si>
  <si>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</si>
  <si>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</si>
  <si>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</si>
  <si>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</si>
  <si>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</si>
  <si>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</si>
  <si>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</si>
  <si>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</si>
  <si>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</si>
  <si>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</si>
  <si>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</si>
  <si>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</si>
  <si>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</si>
  <si>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</si>
  <si>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</si>
  <si>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</si>
  <si>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</si>
  <si>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</si>
  <si>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</si>
  <si>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</si>
  <si>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</si>
  <si>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</si>
  <si>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</si>
  <si>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</si>
  <si>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</si>
  <si>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</si>
  <si>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</si>
  <si>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</si>
  <si>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</si>
  <si>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</si>
  <si>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</si>
  <si>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</si>
  <si>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</si>
  <si>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</si>
  <si>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</si>
  <si>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</si>
  <si>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</si>
  <si>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</si>
  <si>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</si>
  <si>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</si>
  <si>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</si>
  <si>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</si>
  <si>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</si>
  <si>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</si>
  <si>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</si>
  <si>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</si>
  <si>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</si>
  <si>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</si>
  <si>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</si>
  <si>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</si>
  <si>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</si>
  <si>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</si>
  <si>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</si>
  <si>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</si>
  <si>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</si>
  <si>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</si>
  <si>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</si>
  <si>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</si>
  <si>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</si>
  <si>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</si>
  <si>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</si>
  <si>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</si>
  <si>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</si>
  <si>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</si>
  <si>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</si>
  <si>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</si>
  <si>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</si>
  <si>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</si>
  <si>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</si>
  <si>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</si>
  <si>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</si>
  <si>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</si>
  <si>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</si>
  <si>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</si>
  <si>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</si>
  <si>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</si>
  <si>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</si>
  <si>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</si>
  <si>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</si>
  <si>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</si>
  <si>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</si>
  <si>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</si>
  <si>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</si>
  <si>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</si>
  <si>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</si>
  <si>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</si>
  <si>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</si>
  <si>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</si>
  <si>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</si>
  <si>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</si>
  <si>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</si>
  <si>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</si>
  <si>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</si>
  <si>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</si>
  <si>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</si>
  <si>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</si>
  <si>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</si>
  <si>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</si>
  <si>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</si>
  <si>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</si>
  <si>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</si>
  <si>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</si>
  <si>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</si>
  <si>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</si>
  <si>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</si>
  <si>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</si>
  <si>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</si>
  <si>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</si>
  <si>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</si>
  <si>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</si>
  <si>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</si>
  <si>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</si>
  <si>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</si>
  <si>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</si>
  <si>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</si>
  <si>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</si>
  <si>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</si>
  <si>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</si>
  <si>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</si>
  <si>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</si>
  <si>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</si>
  <si>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</si>
  <si>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</si>
  <si>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</si>
  <si>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</si>
  <si>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</si>
  <si>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</si>
  <si>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</si>
  <si>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</si>
  <si>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</si>
  <si>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</si>
  <si>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</si>
  <si>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</si>
  <si>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</si>
  <si>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</si>
  <si>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</si>
  <si>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</si>
  <si>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</si>
  <si>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</si>
  <si>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</si>
  <si>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</si>
  <si>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</si>
  <si>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</si>
  <si>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</si>
  <si>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</si>
  <si>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</si>
  <si>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</si>
  <si>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</si>
  <si>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</si>
  <si>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</si>
  <si>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</si>
  <si>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</si>
  <si>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</si>
  <si>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</si>
  <si>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</si>
  <si>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</si>
  <si>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</si>
  <si>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</si>
  <si>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</si>
  <si>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</si>
  <si>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</si>
  <si>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</si>
  <si>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</si>
  <si>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</si>
  <si>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</si>
  <si>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</si>
  <si>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</si>
  <si>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</si>
  <si>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</si>
  <si>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Poznámka:</t>
  </si>
  <si>
    <t>Objekt</t>
  </si>
  <si>
    <t>Kód</t>
  </si>
  <si>
    <t>132201111R00</t>
  </si>
  <si>
    <t>132201119R00</t>
  </si>
  <si>
    <t>133101101R00</t>
  </si>
  <si>
    <t>133201109R00</t>
  </si>
  <si>
    <t>162201101R00</t>
  </si>
  <si>
    <t>180405111R00</t>
  </si>
  <si>
    <t>182001131R00</t>
  </si>
  <si>
    <t>271531113R00</t>
  </si>
  <si>
    <t>273321411R00</t>
  </si>
  <si>
    <t>273361921RT2</t>
  </si>
  <si>
    <t>274313611R00</t>
  </si>
  <si>
    <t>275313611R00</t>
  </si>
  <si>
    <t>311271175R00</t>
  </si>
  <si>
    <t>317121043RT3</t>
  </si>
  <si>
    <t>317121044RT7</t>
  </si>
  <si>
    <t>317121044RT8</t>
  </si>
  <si>
    <t>317941123RT5</t>
  </si>
  <si>
    <t>342255024R00</t>
  </si>
  <si>
    <t>342255028R00</t>
  </si>
  <si>
    <t>342255028RT1</t>
  </si>
  <si>
    <t>416021124RT1</t>
  </si>
  <si>
    <t>417321315R00</t>
  </si>
  <si>
    <t>417351111R00</t>
  </si>
  <si>
    <t>417351116R00</t>
  </si>
  <si>
    <t>417361821R00</t>
  </si>
  <si>
    <t>434311114RA1</t>
  </si>
  <si>
    <t>436234211RA1</t>
  </si>
  <si>
    <t>465210130RA1</t>
  </si>
  <si>
    <t>602019183RT2</t>
  </si>
  <si>
    <t>615481111R00</t>
  </si>
  <si>
    <t>620991004R00</t>
  </si>
  <si>
    <t>620991121R00</t>
  </si>
  <si>
    <t>622451148RT1</t>
  </si>
  <si>
    <t>622451148RT3</t>
  </si>
  <si>
    <t>632411105RT1</t>
  </si>
  <si>
    <t>632921413R00</t>
  </si>
  <si>
    <t>919735123R00</t>
  </si>
  <si>
    <t>941955001R00</t>
  </si>
  <si>
    <t>941955003R00</t>
  </si>
  <si>
    <t>959950104RA1</t>
  </si>
  <si>
    <t>959950105RT1</t>
  </si>
  <si>
    <t>952901110R00</t>
  </si>
  <si>
    <t>952901111R00</t>
  </si>
  <si>
    <t>965042221R00</t>
  </si>
  <si>
    <t>965049112R00</t>
  </si>
  <si>
    <t>S</t>
  </si>
  <si>
    <t>979081111R00</t>
  </si>
  <si>
    <t>979081121R00</t>
  </si>
  <si>
    <t>979082111R00</t>
  </si>
  <si>
    <t>979082121R00</t>
  </si>
  <si>
    <t>979087112R00</t>
  </si>
  <si>
    <t>979093111R00</t>
  </si>
  <si>
    <t>979990103R00</t>
  </si>
  <si>
    <t>H01</t>
  </si>
  <si>
    <t>998011001R00</t>
  </si>
  <si>
    <t>711</t>
  </si>
  <si>
    <t>711111006RZ4</t>
  </si>
  <si>
    <t>711112006RZ4</t>
  </si>
  <si>
    <t>711141559R00</t>
  </si>
  <si>
    <t>62852251</t>
  </si>
  <si>
    <t>711142559R00</t>
  </si>
  <si>
    <t>711212201R00</t>
  </si>
  <si>
    <t>711212209R00</t>
  </si>
  <si>
    <t>711212221R00</t>
  </si>
  <si>
    <t>711212229R00</t>
  </si>
  <si>
    <t>711212231R00</t>
  </si>
  <si>
    <t>998711101R00</t>
  </si>
  <si>
    <t>712</t>
  </si>
  <si>
    <t>712491171R00</t>
  </si>
  <si>
    <t>69366055</t>
  </si>
  <si>
    <t>712472101R00</t>
  </si>
  <si>
    <t>28322104.A</t>
  </si>
  <si>
    <t>998712101R00</t>
  </si>
  <si>
    <t>713</t>
  </si>
  <si>
    <t>713111211R00</t>
  </si>
  <si>
    <t>28323502</t>
  </si>
  <si>
    <t>713121111RT1</t>
  </si>
  <si>
    <t>28376411.A</t>
  </si>
  <si>
    <t>713191100R00</t>
  </si>
  <si>
    <t>28325086.A</t>
  </si>
  <si>
    <t>713111130R00</t>
  </si>
  <si>
    <t>63151376.A</t>
  </si>
  <si>
    <t>998713101R00</t>
  </si>
  <si>
    <t>721</t>
  </si>
  <si>
    <t>72111IM</t>
  </si>
  <si>
    <t>72112IM</t>
  </si>
  <si>
    <t>72113IM</t>
  </si>
  <si>
    <t>72114IM</t>
  </si>
  <si>
    <t>72115IM</t>
  </si>
  <si>
    <t>72116IM</t>
  </si>
  <si>
    <t>72121IM</t>
  </si>
  <si>
    <t>72122IM</t>
  </si>
  <si>
    <t>72131IM</t>
  </si>
  <si>
    <t>72132IM</t>
  </si>
  <si>
    <t>72133IM</t>
  </si>
  <si>
    <t>72134IM</t>
  </si>
  <si>
    <t>72141IM</t>
  </si>
  <si>
    <t>72142IM</t>
  </si>
  <si>
    <t>72143IM</t>
  </si>
  <si>
    <t>72151IM</t>
  </si>
  <si>
    <t>72152IM</t>
  </si>
  <si>
    <t>72153IM</t>
  </si>
  <si>
    <t>72154IM</t>
  </si>
  <si>
    <t>72155IM</t>
  </si>
  <si>
    <t>72156IM</t>
  </si>
  <si>
    <t>72157IM</t>
  </si>
  <si>
    <t>72158IM</t>
  </si>
  <si>
    <t>72159IM</t>
  </si>
  <si>
    <t>721510IM</t>
  </si>
  <si>
    <t>721511IM</t>
  </si>
  <si>
    <t>721512IM</t>
  </si>
  <si>
    <t>721513IM</t>
  </si>
  <si>
    <t>721514IM</t>
  </si>
  <si>
    <t>72171IM</t>
  </si>
  <si>
    <t>72172IM</t>
  </si>
  <si>
    <t>72173IM</t>
  </si>
  <si>
    <t>72174IM</t>
  </si>
  <si>
    <t>72181IM</t>
  </si>
  <si>
    <t>72182IM</t>
  </si>
  <si>
    <t>72183IM</t>
  </si>
  <si>
    <t>72184IM</t>
  </si>
  <si>
    <t>72185IM</t>
  </si>
  <si>
    <t>72186IM</t>
  </si>
  <si>
    <t>72187IM</t>
  </si>
  <si>
    <t>72188IM</t>
  </si>
  <si>
    <t>72189IM</t>
  </si>
  <si>
    <t>722</t>
  </si>
  <si>
    <t>72117IM</t>
  </si>
  <si>
    <t>72221IM</t>
  </si>
  <si>
    <t>72231IM</t>
  </si>
  <si>
    <t>72232IM</t>
  </si>
  <si>
    <t>72233IM</t>
  </si>
  <si>
    <t>72241IM</t>
  </si>
  <si>
    <t>72242IM</t>
  </si>
  <si>
    <t>72243IM</t>
  </si>
  <si>
    <t>72251IM</t>
  </si>
  <si>
    <t>72252IM</t>
  </si>
  <si>
    <t>72253IM</t>
  </si>
  <si>
    <t>72254IM</t>
  </si>
  <si>
    <t>72255IM</t>
  </si>
  <si>
    <t>72256IM</t>
  </si>
  <si>
    <t>72257IM</t>
  </si>
  <si>
    <t>72258IM</t>
  </si>
  <si>
    <t>72259IM</t>
  </si>
  <si>
    <t>722510IM</t>
  </si>
  <si>
    <t>722511IM</t>
  </si>
  <si>
    <t>722512IM</t>
  </si>
  <si>
    <t>72261IM</t>
  </si>
  <si>
    <t>72262IM</t>
  </si>
  <si>
    <t>72263IM</t>
  </si>
  <si>
    <t>72264IM</t>
  </si>
  <si>
    <t>72265IM</t>
  </si>
  <si>
    <t>72266IM</t>
  </si>
  <si>
    <t>72267IM</t>
  </si>
  <si>
    <t>72268IM</t>
  </si>
  <si>
    <t>72269IM</t>
  </si>
  <si>
    <t>722610IM</t>
  </si>
  <si>
    <t>722611IM</t>
  </si>
  <si>
    <t>72271IM</t>
  </si>
  <si>
    <t>72272IM</t>
  </si>
  <si>
    <t>72281IM</t>
  </si>
  <si>
    <t>72282IM</t>
  </si>
  <si>
    <t>72283IM</t>
  </si>
  <si>
    <t>72284IM</t>
  </si>
  <si>
    <t>72285IM</t>
  </si>
  <si>
    <t>72286IM</t>
  </si>
  <si>
    <t>72287IM</t>
  </si>
  <si>
    <t>72288IM</t>
  </si>
  <si>
    <t>72289IM</t>
  </si>
  <si>
    <t>722810IM</t>
  </si>
  <si>
    <t>740-1</t>
  </si>
  <si>
    <t>971033141IM</t>
  </si>
  <si>
    <t>971033148IM</t>
  </si>
  <si>
    <t>973031324IM</t>
  </si>
  <si>
    <t>974082212IM</t>
  </si>
  <si>
    <t>974082214IM</t>
  </si>
  <si>
    <t>740991200IM</t>
  </si>
  <si>
    <t>742231100IM</t>
  </si>
  <si>
    <t>35711715RIM</t>
  </si>
  <si>
    <t>35711719RIM</t>
  </si>
  <si>
    <t>74281111RIM</t>
  </si>
  <si>
    <t>743112115IM</t>
  </si>
  <si>
    <t>345710510IM</t>
  </si>
  <si>
    <t>743112117IM</t>
  </si>
  <si>
    <t>345710940IM</t>
  </si>
  <si>
    <t>743112156IM</t>
  </si>
  <si>
    <t>345710018IM</t>
  </si>
  <si>
    <t>743411111IM</t>
  </si>
  <si>
    <t>345715210IM</t>
  </si>
  <si>
    <t>345715240IM</t>
  </si>
  <si>
    <t>345715841IM</t>
  </si>
  <si>
    <t>345715110IM</t>
  </si>
  <si>
    <t>743411121IM</t>
  </si>
  <si>
    <t>10033023IM</t>
  </si>
  <si>
    <t>743611121IM</t>
  </si>
  <si>
    <t>354410730IM</t>
  </si>
  <si>
    <t>743622200IM</t>
  </si>
  <si>
    <t>354420290IM</t>
  </si>
  <si>
    <t>718111222IM</t>
  </si>
  <si>
    <t>341828522IM</t>
  </si>
  <si>
    <t>744211111IM</t>
  </si>
  <si>
    <t>341408256IM</t>
  </si>
  <si>
    <t>341408258IM</t>
  </si>
  <si>
    <t>744211112IM</t>
  </si>
  <si>
    <t>341408270IM</t>
  </si>
  <si>
    <t>744411220IM</t>
  </si>
  <si>
    <t>341110300IM</t>
  </si>
  <si>
    <t>341110050IM</t>
  </si>
  <si>
    <t>744411230IM</t>
  </si>
  <si>
    <t>341110360IM</t>
  </si>
  <si>
    <t>744411260IM</t>
  </si>
  <si>
    <t>10358185RIM</t>
  </si>
  <si>
    <t>746211110IM</t>
  </si>
  <si>
    <t>21060624IM</t>
  </si>
  <si>
    <t>68500231IM</t>
  </si>
  <si>
    <t>68500240IM</t>
  </si>
  <si>
    <t>345723090IM</t>
  </si>
  <si>
    <t>746211140IM</t>
  </si>
  <si>
    <t>746591510IM</t>
  </si>
  <si>
    <t>10939562IM</t>
  </si>
  <si>
    <t>747111111IM</t>
  </si>
  <si>
    <t>345357698IM</t>
  </si>
  <si>
    <t>747111125IM</t>
  </si>
  <si>
    <t>345355781IM</t>
  </si>
  <si>
    <t>747111126IM</t>
  </si>
  <si>
    <t>345355559IM</t>
  </si>
  <si>
    <t>747161060IM</t>
  </si>
  <si>
    <t>345551275RIM</t>
  </si>
  <si>
    <t>7471621RIM</t>
  </si>
  <si>
    <t>748121142IM</t>
  </si>
  <si>
    <t>34814435RIM</t>
  </si>
  <si>
    <t>34814433RIM</t>
  </si>
  <si>
    <t>34814431RIM</t>
  </si>
  <si>
    <t>34814400RIM</t>
  </si>
  <si>
    <t>34812500RIM</t>
  </si>
  <si>
    <t>34812548RIM</t>
  </si>
  <si>
    <t>748992300IM</t>
  </si>
  <si>
    <t>749115515IM</t>
  </si>
  <si>
    <t>340520000IM</t>
  </si>
  <si>
    <t>749322286IM</t>
  </si>
  <si>
    <t>340550876IM</t>
  </si>
  <si>
    <t>749300748IM</t>
  </si>
  <si>
    <t>340550123IM</t>
  </si>
  <si>
    <t>74991111RIM</t>
  </si>
  <si>
    <t>013254000IM</t>
  </si>
  <si>
    <t>013254000RIM</t>
  </si>
  <si>
    <t>071103000IM</t>
  </si>
  <si>
    <t>092103001IM</t>
  </si>
  <si>
    <t>092100008IM</t>
  </si>
  <si>
    <t>340520545RIM</t>
  </si>
  <si>
    <t>092203041IM</t>
  </si>
  <si>
    <t>740-2</t>
  </si>
  <si>
    <t>460680164IM</t>
  </si>
  <si>
    <t>460680582IM</t>
  </si>
  <si>
    <t>749115555IM</t>
  </si>
  <si>
    <t>340521555IM</t>
  </si>
  <si>
    <t>749008122IM</t>
  </si>
  <si>
    <t>340520874IM</t>
  </si>
  <si>
    <t>749136982IM</t>
  </si>
  <si>
    <t>340520522IM</t>
  </si>
  <si>
    <t>749136989IM</t>
  </si>
  <si>
    <t>340520528IM</t>
  </si>
  <si>
    <t>749136107IM</t>
  </si>
  <si>
    <t>340520512IM</t>
  </si>
  <si>
    <t>749130522IM</t>
  </si>
  <si>
    <t>340528479IM</t>
  </si>
  <si>
    <t>749136650IM</t>
  </si>
  <si>
    <t>340851699IM</t>
  </si>
  <si>
    <t>749136522IM</t>
  </si>
  <si>
    <t>749310447RIM</t>
  </si>
  <si>
    <t>340556354RIM</t>
  </si>
  <si>
    <t>340550544IM</t>
  </si>
  <si>
    <t>340550847RIM</t>
  </si>
  <si>
    <t>092103001DIM</t>
  </si>
  <si>
    <t>092100511IM</t>
  </si>
  <si>
    <t>092100410IM</t>
  </si>
  <si>
    <t>762</t>
  </si>
  <si>
    <t>762132135RT3</t>
  </si>
  <si>
    <t>762195000R00</t>
  </si>
  <si>
    <t>762311103RT1</t>
  </si>
  <si>
    <t>762313114RT1</t>
  </si>
  <si>
    <t>762332120R00</t>
  </si>
  <si>
    <t>60515220</t>
  </si>
  <si>
    <t>60515223.B</t>
  </si>
  <si>
    <t>60515225.B</t>
  </si>
  <si>
    <t>60515230</t>
  </si>
  <si>
    <t>762332130R00</t>
  </si>
  <si>
    <t>60515242</t>
  </si>
  <si>
    <t>762332140R00</t>
  </si>
  <si>
    <t>60515283.A</t>
  </si>
  <si>
    <t>60515283.B</t>
  </si>
  <si>
    <t>762341220R00</t>
  </si>
  <si>
    <t>60725017</t>
  </si>
  <si>
    <t>762341620RT3</t>
  </si>
  <si>
    <t>762395000R00</t>
  </si>
  <si>
    <t>998762101R00</t>
  </si>
  <si>
    <t>764</t>
  </si>
  <si>
    <t>764718304RZ1</t>
  </si>
  <si>
    <t>764775302RZ1</t>
  </si>
  <si>
    <t>764775304RZ1</t>
  </si>
  <si>
    <t>764778113RZ1</t>
  </si>
  <si>
    <t>764778123RZ1</t>
  </si>
  <si>
    <t>998764101R00</t>
  </si>
  <si>
    <t>766</t>
  </si>
  <si>
    <t>766121210RT3</t>
  </si>
  <si>
    <t>766121220RT3</t>
  </si>
  <si>
    <t>766121230RT3</t>
  </si>
  <si>
    <t>766629301RT3</t>
  </si>
  <si>
    <t>766629301RT4</t>
  </si>
  <si>
    <t>766661112RU1</t>
  </si>
  <si>
    <t>766661112RU2</t>
  </si>
  <si>
    <t>766694112RT3</t>
  </si>
  <si>
    <t>998766101R00</t>
  </si>
  <si>
    <t>767</t>
  </si>
  <si>
    <t>767222210RT1</t>
  </si>
  <si>
    <t>767995201RU1</t>
  </si>
  <si>
    <t>767995201RU2</t>
  </si>
  <si>
    <t>767995201RU3</t>
  </si>
  <si>
    <t>767995201RU4</t>
  </si>
  <si>
    <t>767995201RU5</t>
  </si>
  <si>
    <t>767995201RU6</t>
  </si>
  <si>
    <t>767995201RU7</t>
  </si>
  <si>
    <t>767995201RU8</t>
  </si>
  <si>
    <t>998767101R00</t>
  </si>
  <si>
    <t>771</t>
  </si>
  <si>
    <t>771101121R00</t>
  </si>
  <si>
    <t>771130111R00</t>
  </si>
  <si>
    <t>59764203</t>
  </si>
  <si>
    <t>771479001R00</t>
  </si>
  <si>
    <t>771575109R00</t>
  </si>
  <si>
    <t>771578011RT4</t>
  </si>
  <si>
    <t>771579791R00</t>
  </si>
  <si>
    <t>771579795R00</t>
  </si>
  <si>
    <t>998771101R00</t>
  </si>
  <si>
    <t>781</t>
  </si>
  <si>
    <t>781101210R00</t>
  </si>
  <si>
    <t>781111115R00</t>
  </si>
  <si>
    <t>781111116R00</t>
  </si>
  <si>
    <t>781111121R00</t>
  </si>
  <si>
    <t>283424153</t>
  </si>
  <si>
    <t>2834241695</t>
  </si>
  <si>
    <t>283424184</t>
  </si>
  <si>
    <t>781210131R00</t>
  </si>
  <si>
    <t>597813600</t>
  </si>
  <si>
    <t>781419706R00</t>
  </si>
  <si>
    <t>781675111R00</t>
  </si>
  <si>
    <t>998781101R00</t>
  </si>
  <si>
    <t>783</t>
  </si>
  <si>
    <t>783726700R00</t>
  </si>
  <si>
    <t>783782205R00</t>
  </si>
  <si>
    <t>784</t>
  </si>
  <si>
    <t>784111101R00</t>
  </si>
  <si>
    <t>784111701R00</t>
  </si>
  <si>
    <t>784115312R00</t>
  </si>
  <si>
    <t>784115712R00</t>
  </si>
  <si>
    <t>0</t>
  </si>
  <si>
    <t>005 12-1020.R</t>
  </si>
  <si>
    <t>005-24-1010.R</t>
  </si>
  <si>
    <t>005 10-1010.R</t>
  </si>
  <si>
    <t>Zkrácený popis / Varianta</t>
  </si>
  <si>
    <t>Rozměry</t>
  </si>
  <si>
    <t>Hloubené vykopávky</t>
  </si>
  <si>
    <t>Hloubení rýh š.do 60 cm v hor.3 do 100 m3, STROJNĚ</t>
  </si>
  <si>
    <t>Příplatek za lepivost - hloubení rýh 60 cm v hor.3</t>
  </si>
  <si>
    <t>Hloubení šachet v hor.2 do 100 m3</t>
  </si>
  <si>
    <t>Příplatek za lepivost - hloubení šachet v hor.3</t>
  </si>
  <si>
    <t>Přemístění výkopku</t>
  </si>
  <si>
    <t>Vodorovné přemístění výkopku z hor.1-4 do 20 m</t>
  </si>
  <si>
    <t>Povrchové úpravy terénu</t>
  </si>
  <si>
    <t>Založení trávníků ve veget. prefa.výsevem v rovině</t>
  </si>
  <si>
    <t>Plošná úprava terénu, nerovnosti do 20 cm v rovině</t>
  </si>
  <si>
    <t>Základy</t>
  </si>
  <si>
    <t>Polštář základu z kameniva hr. drceného 16-32 mm</t>
  </si>
  <si>
    <t>Beton základových desek C 25/30</t>
  </si>
  <si>
    <t>skladba PDL1, bod 3 + PDL2, bod 2</t>
  </si>
  <si>
    <t>Výztuž základových desek ze svařovaných sítí</t>
  </si>
  <si>
    <t>průměr drátu  5,0, oka 100/100 mm KD35</t>
  </si>
  <si>
    <t>Beton základových pasů prostý C 16/20</t>
  </si>
  <si>
    <t>Beton základových patek prostý C 16/20</t>
  </si>
  <si>
    <t>Zdi podpěrné a volné</t>
  </si>
  <si>
    <t>Zdivo z tvárnic váppísk.hladkých tl. 20 cm</t>
  </si>
  <si>
    <t>Překlad nosný porobeton, světlost otv. do 105 cm</t>
  </si>
  <si>
    <t>překlad nosný NOP II / 2 / 23 129 x 24,9 x 20 cm ozn.P2</t>
  </si>
  <si>
    <t>Překlad nosný porobeton, světlost otv. do 180 cm</t>
  </si>
  <si>
    <t>překlad nosný NOP III / 2 / 21 149 x 24,9 x 20 cm ozn.P3</t>
  </si>
  <si>
    <t>překlad nosný NOP IV / 2 / 15 174 x 24,9 x 20 cm ozn.P1</t>
  </si>
  <si>
    <t>Osazení ocelových válcovaných nosníků  č.14-22</t>
  </si>
  <si>
    <t>včetně dodávky profilu I č.20 ozn.P4</t>
  </si>
  <si>
    <t>Stěny a příčky</t>
  </si>
  <si>
    <t>Příčky z desek váppísk.tl. 10 cm</t>
  </si>
  <si>
    <t>Příčky z desek váppísk.tl. 15 cm</t>
  </si>
  <si>
    <t>Instal.předstěny z desek váppísk.tl. 15 cm</t>
  </si>
  <si>
    <t>Stropy a stropní konstrukce (pro pozemní stavby)</t>
  </si>
  <si>
    <t>Podhledy SDK, poz.rošt 1x deska RFI 12,5 mm vč.přebroušení a přetmelení spár</t>
  </si>
  <si>
    <t>skladba STŘ1, body 8, 9, 10</t>
  </si>
  <si>
    <t>Ztužující pásy a věnce z betonu železového C 20/25</t>
  </si>
  <si>
    <t>Bednění ztužujících věnců, obě strany - zřízení</t>
  </si>
  <si>
    <t>Bednění ztužujících pásů a věnců - odstranění</t>
  </si>
  <si>
    <t>Výztuž ztužujících pásů a věnců z oceli 10505(R)</t>
  </si>
  <si>
    <t>Schodiště</t>
  </si>
  <si>
    <t>Stupně schodišťové venkovní vč.bednění</t>
  </si>
  <si>
    <t>0,165/0,300/1,72</t>
  </si>
  <si>
    <t>Boční zídky schodů a ramp -obložení kamenem</t>
  </si>
  <si>
    <t>Zpevněné plochy (kromě vozovek a železničního svršku)</t>
  </si>
  <si>
    <t>Rampa venkovní dle popisu v PD</t>
  </si>
  <si>
    <t>Omítky ze suchých směsí</t>
  </si>
  <si>
    <t>Omítka stěn vnitřní</t>
  </si>
  <si>
    <t>stěrkový tmel vč.arm.tkaniny+štuk.omítka</t>
  </si>
  <si>
    <t>Úprava povrchů vnitřní</t>
  </si>
  <si>
    <t>Potažení válc.nosníků rabic.pletivem a postřik MC</t>
  </si>
  <si>
    <t>Úprava povrchů vnější</t>
  </si>
  <si>
    <t>Začišťovací okenní lišta pro omítku</t>
  </si>
  <si>
    <t>Zakrývání výplní vnějších otvorů</t>
  </si>
  <si>
    <t>Omítka vnější stěn silikát.složitost 1 - 2 -skladba SO 1, body 5-7</t>
  </si>
  <si>
    <t>stěrkový tmel vč.arm.tkaniny+zákl.penetr.nátěr+finální tenkovrstvá silikát.probarv.omítka, zrn.1,5mm</t>
  </si>
  <si>
    <t>Omítka vnější stěn mozaik.složitost 1 - 2 -skladba SO 2, body 5-8</t>
  </si>
  <si>
    <t>bitumen.stěrka tl.4mm s výzt.síťkou+stěrk.tmel vč.arm.tkaniny+zákl.nátěr pro mozaik.omítky+dekor.sokl.mozaik.omítka, zrn.1,2mm</t>
  </si>
  <si>
    <t>Podlahy a podlahové konstrukce</t>
  </si>
  <si>
    <t>Vyrovnávací stěrka tl.5mm vč.očištění povrchu a penetrace</t>
  </si>
  <si>
    <t>skladba PDL1, bod 6</t>
  </si>
  <si>
    <t>Dlažba z dlaždic betonových do MC 10, tl. 60 mm vč.dodávky</t>
  </si>
  <si>
    <t>skladba PDL2, bod 1</t>
  </si>
  <si>
    <t>Doplňující konstrukce a práce na pozemních komunikacích a zpevněných plochách</t>
  </si>
  <si>
    <t>Řezání stávajícího betonového krytu tl. 10 - 15 cm</t>
  </si>
  <si>
    <t>Lešení a stavební výtahy</t>
  </si>
  <si>
    <t>Lešení lehké pomocné, výška podlahy do 1,2 m</t>
  </si>
  <si>
    <t>Lešení lehké pomocné, výška podlahy do 2,5 m</t>
  </si>
  <si>
    <t>Různé dokončovací konstrukce a práce na pozemních stavbách</t>
  </si>
  <si>
    <t>Stavební přípomoce pro profese</t>
  </si>
  <si>
    <t>M+D Ruční hasící přístroj RHP s has.schopn.21A</t>
  </si>
  <si>
    <t>Čištění mytím vnějších ploch oken a dveří</t>
  </si>
  <si>
    <t>Vyčištění budov o výšce podlaží do 4 m</t>
  </si>
  <si>
    <t>Bourání konstrukcí</t>
  </si>
  <si>
    <t>Bourání mazanin betonových tl. nad 10 cm, pl. 1 m2</t>
  </si>
  <si>
    <t>Příplatek, bourání mazanin se svař.síťí nad 10 cm</t>
  </si>
  <si>
    <t>Přesuny sutí</t>
  </si>
  <si>
    <t>Odvoz suti a vybour. hmot na skládku do 1 km</t>
  </si>
  <si>
    <t>Příplatek k odvozu za každý další 1 km</t>
  </si>
  <si>
    <t>Vnitrostaveništní doprava suti do 10 m</t>
  </si>
  <si>
    <t>Příplatek k vnitrost. dopravě suti za dalších 5 m</t>
  </si>
  <si>
    <t>Nakládání suti na dopravní prostředky</t>
  </si>
  <si>
    <t>Uložení suti na skládku bez zhutnění</t>
  </si>
  <si>
    <t>Poplatek za skládku suti - beton</t>
  </si>
  <si>
    <t>Budovy občanské výstavby</t>
  </si>
  <si>
    <t>Přesun hmot pro budovy zděné výšky do 6 m</t>
  </si>
  <si>
    <t>Izolace proti vodě</t>
  </si>
  <si>
    <t>Izolace proti vlhkosti vodor.,nátěr penetr.emulzí vč.emulze 0,4 kg/m2</t>
  </si>
  <si>
    <t>skladba PDL1, bod 5</t>
  </si>
  <si>
    <t>Izolace proti vlhkosti svis.,nátěr penetr.emulzí vč.emulze 0,4kg/m2</t>
  </si>
  <si>
    <t>Izolace proti vlhk. vodorovná pásy přitavením</t>
  </si>
  <si>
    <t>Pás modifikovaný asfalt SBS tl.4 mm s miner.posypem</t>
  </si>
  <si>
    <t>Izolace proti vlhkosti svislá pásy přitavením</t>
  </si>
  <si>
    <t>Penetrace hloubková 0,20 l/m2-vodorovná</t>
  </si>
  <si>
    <t>Penetrace hloubková 0,20 l/m2-svislá</t>
  </si>
  <si>
    <t>Stěrka hydroizolační těsnicí hmotou-vodorovná</t>
  </si>
  <si>
    <t>skladba PDL1, bod 2</t>
  </si>
  <si>
    <t>Stěrka hydroizolační těsnicí hmotou-svislá</t>
  </si>
  <si>
    <t>Těsnicí pás do spoje podlaha - stěna</t>
  </si>
  <si>
    <t>Přesun hmot pro izolace proti vodě, výšky do 6 m</t>
  </si>
  <si>
    <t>Izolace střech (živičné krytiny)</t>
  </si>
  <si>
    <t>Povlaková krytina střech do 30°, podklad. textilie</t>
  </si>
  <si>
    <t>skladba STŘ1, bod 2 + skladba STŘ2, bod 2</t>
  </si>
  <si>
    <t>Separační geotextilie 300 g/m2</t>
  </si>
  <si>
    <t>Mont.povlakové krytiny střech do 30°fólií kotvením</t>
  </si>
  <si>
    <t>skladba STŘ1, bod 1+ skladba STŘ2, bod 1</t>
  </si>
  <si>
    <t>Hydroziol.fólie z mPVC tl.1,5mm s imitací falců</t>
  </si>
  <si>
    <t>Přesun hmot pro povlakové krytiny, výšky do 6 m</t>
  </si>
  <si>
    <t>Izolace tepelné</t>
  </si>
  <si>
    <t>Montáž parozábrany krovů spodem s přelepením spojů</t>
  </si>
  <si>
    <t>skladba STŘ1, bod 7</t>
  </si>
  <si>
    <t>Fólie parobrzdná vnitřní</t>
  </si>
  <si>
    <t>Izolace tepelná podlah na sucho, jednovrstvá vč.dilat.pásku podél stěn</t>
  </si>
  <si>
    <t>skladba PDL1, bod 4</t>
  </si>
  <si>
    <t>Deska polystyrenová EPS 150 S tl.4 cm</t>
  </si>
  <si>
    <t>Položení difúzní fólie</t>
  </si>
  <si>
    <t>skladba STŘ1, bod 5</t>
  </si>
  <si>
    <t>Fólie podstřešní paropropustná</t>
  </si>
  <si>
    <t>Izolace tepelné stropů, vložené mezi krokve</t>
  </si>
  <si>
    <t>skladba STŘ1, bod 6</t>
  </si>
  <si>
    <t>Deska z minerální plsti tl.140 mm</t>
  </si>
  <si>
    <t>Přesun hmot pro izolace tepelné, výšky do 6 m</t>
  </si>
  <si>
    <t>ZTI-Vnitřní kanalizace</t>
  </si>
  <si>
    <t>Výkop rýhy š. 0,8 m - pro nové i odstraněné potrubí</t>
  </si>
  <si>
    <t>Výkop montážní jámy 1200x1200x2000 mm, včetně pažení</t>
  </si>
  <si>
    <t>D+M - Zemní výstražná fólie</t>
  </si>
  <si>
    <t>D+M - Signalizační (propojovací) vodič CYKY 6x6 mm</t>
  </si>
  <si>
    <t>D+M - Stavební drenáž včetně obsypu</t>
  </si>
  <si>
    <t>D+M - RŠ1 - Nová revizní plastovákanalizační šachta Ř 425 s teleskopiskou rourou a litinovým poklopem D400</t>
  </si>
  <si>
    <t>D+M - Ležatí potrubí PVC-KG DN 110</t>
  </si>
  <si>
    <t>D+M - Ležatí potrubí PVC-KG DN 125</t>
  </si>
  <si>
    <t>D+M - Odpadní a připojovací potrubí (HT systém) DN 50</t>
  </si>
  <si>
    <t>D+M - Odpadní a připojovací potrubí (HT systém) DN 75</t>
  </si>
  <si>
    <t>D+M - Odpadní a připojovací potrubí (HT systém) DN 110</t>
  </si>
  <si>
    <t>D+M - Odpadní a připojovací potrubí (HT systém) DN 125</t>
  </si>
  <si>
    <t>Vyvedení a upevnění odpadních výpustek</t>
  </si>
  <si>
    <t>D+M - Čistící kus DN 110</t>
  </si>
  <si>
    <t>D+M - Krycí Dvířka 300x150 mm pro zazdění bez tvorů</t>
  </si>
  <si>
    <t>D+M - U - Keramické umyvadlo 55 cm, s otvorem pro baterii</t>
  </si>
  <si>
    <t>D+M - Ui - Zdravotní umyvadlo keramické, závěsné pro imobilní s otvorem pro baterii uprostřed</t>
  </si>
  <si>
    <t>D+M - WC - Závěsný klozet keramický, hluboké splachování, duroplastové sedátko s poklopem</t>
  </si>
  <si>
    <t>D+M - WCi - Závěsný klozet keramický pro imobilní s prodlouženou délkou, duroplastové sedátko bez poklopu</t>
  </si>
  <si>
    <t>D+M - Ur - Keramický urinál s otvorem pro oplachovací růžici</t>
  </si>
  <si>
    <t>D+M - Vl - Výlevka keramická závěsná s plastovou sklopnou mřížkou</t>
  </si>
  <si>
    <t>D+M - Pv - Podlahová vpust DN 50/75 s otočným kloubem na odtoku</t>
  </si>
  <si>
    <t>D+M - HP - Kanalizační přivzdušňovací ventil DN 75, s dvojitou izolační stěnou</t>
  </si>
  <si>
    <t>Regulovatelný větrací komínek (hlavice) DN 110 s tepelnou izolací</t>
  </si>
  <si>
    <t>D+M - Madlo univerzální 550 mm, pevné, nerez</t>
  </si>
  <si>
    <t>D+M - Madlo toaletní, 800 mm sklopné, nerez</t>
  </si>
  <si>
    <t>D+M - Madlo toaletní, 834 mm sklopné, s držákem toaletního papíru, nerez</t>
  </si>
  <si>
    <t>D+M - Sklopné zrcadlo nad umyvadlo s možností naklopení o 10°, s páčkou, nerez</t>
  </si>
  <si>
    <t>D+M - Madlo univerzální 600 mm, pevné, nerez</t>
  </si>
  <si>
    <t>Drážky pro potrubí DN 32 až 50 - 120x120 mm ve stěně + oprava a začištění omítky</t>
  </si>
  <si>
    <t>Prostup stropní konstrukcí pro potrubí + oprava a začištění stropu a střechy + utěsnění</t>
  </si>
  <si>
    <t>Prostup základem (velikost prostupu dle PD) + oprava</t>
  </si>
  <si>
    <t>Svislá drážka v základu (velikost prostupu dle PD) + oprava</t>
  </si>
  <si>
    <t>Ostatní bourací, přípomocné a zednické práce</t>
  </si>
  <si>
    <t>Tlaková zkouška potrubí do DN 250</t>
  </si>
  <si>
    <t>Pročištění potrubí do DN 250</t>
  </si>
  <si>
    <t>Zkouška těsnosti kanalizačního potrubí do DN 250</t>
  </si>
  <si>
    <t>Geodetické zaměření skutečného provedení s polohopisem</t>
  </si>
  <si>
    <t>Napojení na stávající potrubí vč. utěsnění</t>
  </si>
  <si>
    <t>Pojízdné lešení, pomocné konstrukce, montážní plošina v rámci výšky jednoho podlaží</t>
  </si>
  <si>
    <t>Přesun hmot</t>
  </si>
  <si>
    <t>Dokumentace skutečného provedení (3 paré) - není součástí položky ve VRN</t>
  </si>
  <si>
    <t>Koordinace - není součástí položky ve VRN</t>
  </si>
  <si>
    <t>ZTI-Vnitřní vodovod</t>
  </si>
  <si>
    <t>Výkop rýhy š. 0,6 m - pro nové i odstraněné potrubí</t>
  </si>
  <si>
    <t>D+M - Nová vodoměrná šachta plastová Ř 1000 + Zateplený pochůzí poklop DN 630</t>
  </si>
  <si>
    <t>Odstranění stávající vodoměrné betonové šachty</t>
  </si>
  <si>
    <t>D+M - potrubí PE 100 SDR 11 dn 40 (40x3,7 mm)</t>
  </si>
  <si>
    <t>D+M - potrubí PP-RCT - d 20x2,8 mm</t>
  </si>
  <si>
    <t>D+M - potrubí PP-RCT - d 25x3,5 mm</t>
  </si>
  <si>
    <t>D+M - potrubí PP-RCT - d 35x4,4 mm</t>
  </si>
  <si>
    <t>D+M - Návleková tepelná izolace PE tl. 20 mm + polep AL fólií na potrubí d 20x2,8 mm</t>
  </si>
  <si>
    <t>D+M - Návleková tepelná izolace PE tl. 25 mm + polep AL fólií na potrubí d 25x3,5 mm</t>
  </si>
  <si>
    <t>D+M - Návleková tepelná izolace PE tl. 25 mm + polep AL fólií na potrubí d 35x4,4 mm</t>
  </si>
  <si>
    <t>D+M - U - Automatická umyvadlová baterie s elektronikou ALS s termostatickým ventilem).</t>
  </si>
  <si>
    <t>D+M - Ui - Automatická umyvadlová baterie s elektronikou ALS s termostatickým ventilem</t>
  </si>
  <si>
    <t>D+M - WC - Podomítkový montážní prvek pro závěsné WC</t>
  </si>
  <si>
    <t>D+M - WCi - Podomítkový montážní prvek pro závěsné WC</t>
  </si>
  <si>
    <t>D+M - Ur - Ventil pro oplach pisoáru. Infračervený splachovač pisoáru s elektronikou ALS</t>
  </si>
  <si>
    <t>D+M - VL - Podomítkový montážní prvek pro výlevku + Nástěnná páková baterie s prodlouženým ramínkem</t>
  </si>
  <si>
    <t>D+M - NZ - Napájecí zdroj 230V AC/24V D.</t>
  </si>
  <si>
    <t>D+M - ZO - Elektrický akumulační ohřívač teplé vody, pro svislou montáž o objemu 80 l</t>
  </si>
  <si>
    <t>D+M - Odvzdušňovací ventil DN 15</t>
  </si>
  <si>
    <t>D+M - Přivzdušňovací ventil DN 15</t>
  </si>
  <si>
    <t>D+M - Připojovací ventil 1/2"</t>
  </si>
  <si>
    <t>D+M - Propojovací nerezové opletené hadice osazených maticemi 3/8" x 1/2" k výtokovým armaturám</t>
  </si>
  <si>
    <t>D+M - Kulový kohout, chromovaný, DN 20</t>
  </si>
  <si>
    <t>D+M - Kulový kohout, chromovaný, DN 32</t>
  </si>
  <si>
    <t>D+M - Zpětná klapka s gumovým těsněním, mosazná, DN 20</t>
  </si>
  <si>
    <t>D+M - Zpětná klapka s gumovým těsněním, mosazná, DN 32</t>
  </si>
  <si>
    <t>D+M - Pojistný ventil se zpětnou klapkou pro ohřívač TV (do 6 bar), chromovaný, DN 20</t>
  </si>
  <si>
    <t>D+M - Zkušební ventil DN 20</t>
  </si>
  <si>
    <t>D+M - Manometr</t>
  </si>
  <si>
    <t>D+M - Spojka (přechod na potrubí PE) DN 32</t>
  </si>
  <si>
    <t>D+M - Držák vodoměrné sestavy</t>
  </si>
  <si>
    <t>D+M - Vodoměr na studenou vodu s možností dálkového odečtu Qn 2,5</t>
  </si>
  <si>
    <t>D+M - Krycí dvířka 300x150 mm pro zazdění bez tvorů</t>
  </si>
  <si>
    <t>Drážky pro potrubí 100x250 mm ve stěně</t>
  </si>
  <si>
    <t>Vypuštění soustavy</t>
  </si>
  <si>
    <t>Napuštění soustavy</t>
  </si>
  <si>
    <t>Napojení na stávající potrubí</t>
  </si>
  <si>
    <t>Tlaková zkouška vnitřní potrubí do DN 80</t>
  </si>
  <si>
    <t>Proplach a dezinfekce vodovodního potrubí do DN 80</t>
  </si>
  <si>
    <t>Zkouška těsnosti vodovodního potrubí do DN 80</t>
  </si>
  <si>
    <t>Elektromontáže</t>
  </si>
  <si>
    <t>Vybourání otvorů ve zdivu cihelném D do 60 mm na MVC nebo MV tl do 300 mm</t>
  </si>
  <si>
    <t>Vybourání otvorů ve zdivu cihelném D do 150 mm na MVC nebo MV tl do 300 mm</t>
  </si>
  <si>
    <t>Vysekání kapes ve zdivu cihelném na MV nebo MVC pl do 0,10 m2 hl do 150 mm</t>
  </si>
  <si>
    <t>Vysekání rýh pro vodiče v omítce MC stěn š do 30 mm</t>
  </si>
  <si>
    <t>Vysekání rýh pro vodiče v omítce MC stěn š do 70 mm</t>
  </si>
  <si>
    <t>Celková prohlídka elektrického rozvodu a zařízení do 0,5 milionu Kč</t>
  </si>
  <si>
    <t>Montáž rozvodné skříně do 50 kg</t>
  </si>
  <si>
    <t>Rozvaděč RB - viz výkres č. E-02</t>
  </si>
  <si>
    <t>Přípojnice hlavního pospojení</t>
  </si>
  <si>
    <t>Koordinace s provozovatelem / investorem</t>
  </si>
  <si>
    <t>Montáž trubka plastová ohebná D 23 mm uložená pevně</t>
  </si>
  <si>
    <t>trubka elektroinstalační ohebná EN 500 86-1141 2323/LPE-1 D22,9 mm</t>
  </si>
  <si>
    <t>Montáž trubka plastová panc. D 23 mm uložená pevně vč. úchytů</t>
  </si>
  <si>
    <t>Trubka plastová panc.D 23mm vč. úchytů</t>
  </si>
  <si>
    <t>Lišta LV 40x20 mm</t>
  </si>
  <si>
    <t>Montáž krabice zapuštěná plastová kruhová typ KU68/2-1902, KO125</t>
  </si>
  <si>
    <t>krabice univerzální z PH KU 68/2-1903</t>
  </si>
  <si>
    <t>krabice přístrojová odbočná s víčkem z PH KO125</t>
  </si>
  <si>
    <t>krabice přístrojová odbočná s víčkem z PH / IP40</t>
  </si>
  <si>
    <t>krabice přístrojová instalační KP 68/1</t>
  </si>
  <si>
    <t>Montáž krabice zapuštěná plastová čtyřhranná typ KO100, KO125</t>
  </si>
  <si>
    <t>Krabice  IP65</t>
  </si>
  <si>
    <t>Montáž vodič uzemňovací drát nebo lano D do 10 mm / v liště / pod omítkou</t>
  </si>
  <si>
    <t>drát průměr 10 mm FeZn</t>
  </si>
  <si>
    <t>Montáž svorka hromosvodná typ ST, SJ, SK, SZ, SR01, 02 se 3 šrouby</t>
  </si>
  <si>
    <t>svorka uzemnění  SU nerez univerzální</t>
  </si>
  <si>
    <t>Trubka korugovaná 50/41</t>
  </si>
  <si>
    <t>Montáž vodič Cu izolovaný sk.1 do 1 kV žíla 0,35 až 6 mm2 do stěny</t>
  </si>
  <si>
    <t>vodič silový s Cu jádrem CY H07 V-U 2,5 mm2</t>
  </si>
  <si>
    <t>vodič silový s Cu jádrem CY H07 V-U 4 mm2</t>
  </si>
  <si>
    <t>Montáž vodič Cu izolovaný sk.1 do 1 kV žíla 10 až 16 mm2 do stěny</t>
  </si>
  <si>
    <t>vodič silový s Cu jádrem CY H07 V-U 10 mm2</t>
  </si>
  <si>
    <t>Montáž kabel Cu sk.2 do 1 kV do 0,20 kg pod omítku stěn</t>
  </si>
  <si>
    <t>kabel silový s Cu jádrem CYKY 3x1,5 mm2</t>
  </si>
  <si>
    <t>kabel silový s Cu jádrem CMFM 2x1,5 mm2</t>
  </si>
  <si>
    <t>Montáž kabel Cu sk.2 do 1 kV do 0,40 kg pod omítku stěn</t>
  </si>
  <si>
    <t>kabel silový s Cu jádrem CYKY 3x2,5 mm2</t>
  </si>
  <si>
    <t>Montáž kabel Cu sk.2 do 1 kV do 1,10 kg pod omítku stěn</t>
  </si>
  <si>
    <t>kabel silový s Cu jásrem CYKY 4Bx10mm2</t>
  </si>
  <si>
    <t>Ukončení vodič izolovaný do 2,5mm2 v rozváděči nebo na přístroji</t>
  </si>
  <si>
    <t>SVORKA WAGO 221-415 5x2,5</t>
  </si>
  <si>
    <t>SVORKA ST 5 NA POTRUBI</t>
  </si>
  <si>
    <t>OZNAC.STITEK C.1</t>
  </si>
  <si>
    <t>páska stahovací kabelová VPP 4/280</t>
  </si>
  <si>
    <t>Ukončení vodič izolovaný do 10 mm2 v rozváděči nebo na přístroji</t>
  </si>
  <si>
    <t>Montáž pospojení</t>
  </si>
  <si>
    <t>Sada pro ochranné lokální pospojení lokální</t>
  </si>
  <si>
    <t>Montáž vypínač nástěnný 1-jednopólový prostředí obyčejné nebo vlhké</t>
  </si>
  <si>
    <t>spínač jednopólový 10A bílý, IP44</t>
  </si>
  <si>
    <t>Montáž vývodka do 5x2,5mm2 prostředí obyčejné nebo vlhké</t>
  </si>
  <si>
    <t>vývodka do 5x2,5mm2 bílá, IP44</t>
  </si>
  <si>
    <t>Montáž čidlo intenzity osvětlení</t>
  </si>
  <si>
    <t>čidlo intenzity osvětlení</t>
  </si>
  <si>
    <t>Montáž zásuvka chráněná bezšroubové připojení v krabici L+N+PE dvojí zapojení prostř. základní,vlhké</t>
  </si>
  <si>
    <t>zásuvka jednonásobná 230V 16A IP44</t>
  </si>
  <si>
    <t>Podružný montážní materiál</t>
  </si>
  <si>
    <t>Montáž svítidlo zářivkové bytové stropní do dvou zdrojů</t>
  </si>
  <si>
    <t>A -Svítidlo LED 20W kruhové , min IP43, 2590 lm (montáž na hořlavý podklad )</t>
  </si>
  <si>
    <t>B - Svítidlo LED 36W kruhové , min IP43, 5070 lm  (montáž na hořlavý podklad )</t>
  </si>
  <si>
    <t>I - Svítidlo LED 2x20W , IP66, 2x2100 lm</t>
  </si>
  <si>
    <t>C - Zářivkové, plast. kryt-opál, kruhová zář.
elektronický předř.,IP20,72W</t>
  </si>
  <si>
    <t>F - Svítidlo LED max 60W / IP44</t>
  </si>
  <si>
    <t>F/IR - Svítidlo LED max 60W / IP44 s IR čidlem</t>
  </si>
  <si>
    <t>Měření intenzity osvětlení</t>
  </si>
  <si>
    <t>zemnící drát FeZn d10</t>
  </si>
  <si>
    <t>svorka SR03 (páska-drát)</t>
  </si>
  <si>
    <t>Svorka AB vč. pásky Cu</t>
  </si>
  <si>
    <t>Podružný, spojovací, připojovací, kotevní a upevňovací materiál, svorky, závěsy, veškeré příslušenství</t>
  </si>
  <si>
    <t>Dokumentace skutečného provedení stavby</t>
  </si>
  <si>
    <t>Koordinace vypnutí stavby, prozatímní napájení staveništního rozvaděče</t>
  </si>
  <si>
    <t>práce ve výšce nad 3m</t>
  </si>
  <si>
    <t>Náklady na zkušební provoz</t>
  </si>
  <si>
    <t>Stavební přípomoce</t>
  </si>
  <si>
    <t>Materiál pro stavební přípomoce/ omít.</t>
  </si>
  <si>
    <t>Ekologická likvidace odpadů</t>
  </si>
  <si>
    <t>Elektroinstalace-hromosvod</t>
  </si>
  <si>
    <t>Vybourání otvorů ve zdivu cihelném plochy do 0,0225 mm2 a tloušťky přes 45 cm do 60 cm</t>
  </si>
  <si>
    <t>Vysekání rýh pro montáž trubek a kabelů v cihelných zdech do 3 cm hloubky a šířky přes 3 do 5 cm</t>
  </si>
  <si>
    <t>Celková prohlídka elektrického rozvodu a zařízení hromosvodu do 0,25 milionu Kč</t>
  </si>
  <si>
    <t>Sada pro ochranné pospojení</t>
  </si>
  <si>
    <t>zemnící drát AlMgSi d8 polotvrdý</t>
  </si>
  <si>
    <t>zemnicí páska FeZn 30/4</t>
  </si>
  <si>
    <t>zemnící páska FeZn 30/4</t>
  </si>
  <si>
    <t>ochranný úhelník  vč. DOT a držáků</t>
  </si>
  <si>
    <t>ochranný úhelník vč. DOT a držáků</t>
  </si>
  <si>
    <t>podpěra na střechu - PV</t>
  </si>
  <si>
    <t>svorka spojovací SS</t>
  </si>
  <si>
    <t>svorka zkušební SZ  vč. čísla svodu</t>
  </si>
  <si>
    <t>svorka zkušební SZ vč. čísla svodu</t>
  </si>
  <si>
    <t>svorka křížová SK</t>
  </si>
  <si>
    <t>svorka okapová SO</t>
  </si>
  <si>
    <t>svorka SR02 (páska-páska)</t>
  </si>
  <si>
    <t>svorka SR02</t>
  </si>
  <si>
    <t>Zemnící tyč 1,5 m / FeZn se svorkou</t>
  </si>
  <si>
    <t>Zemnící tyč 1,5m / FeZn se svorkou</t>
  </si>
  <si>
    <t>Podružný, spojovací, připojovací, kotevní a upevňovací materiál, svorky a - veškeré příslušenství, asfaltový nátěr</t>
  </si>
  <si>
    <t>Vytýčení základového zemniče</t>
  </si>
  <si>
    <t>práce ve výšce nad 4m</t>
  </si>
  <si>
    <t>Demontáž stávající instalace hromosvodu</t>
  </si>
  <si>
    <t>Ekologická likvidace odpadu</t>
  </si>
  <si>
    <t>Stavební přípomoce vč. materiálu</t>
  </si>
  <si>
    <t>Sondy pro napojení svodů</t>
  </si>
  <si>
    <t>Konstrukce tesařské</t>
  </si>
  <si>
    <t>Montáž bednění stěn, prkna hoblovaná do 32 mm na sraz</t>
  </si>
  <si>
    <t>včetně dodávky řeziva, prkna tl. 24 mm</t>
  </si>
  <si>
    <t>Spojovací a ochranné prostředky pro montáž stěn</t>
  </si>
  <si>
    <t>Montáž kotevních želez, příložek, patek, táhel vč.dodávky</t>
  </si>
  <si>
    <t>kotvy pro sloupky 140/140mm ozn.02</t>
  </si>
  <si>
    <t>Montáž táhel, svorníků, šroubů délky nad 450 mm vč.dodávky</t>
  </si>
  <si>
    <t>kotevní táhla pr.8mm dl.3800mm (20 ks), ozn.01</t>
  </si>
  <si>
    <t>Montáž vázaných krovů pravidelných do 224 cm2</t>
  </si>
  <si>
    <t>Hranol SM/JD 1 12x14 délka nad 600 cm -pozednice ozn.04</t>
  </si>
  <si>
    <t>Hranol SM/JD 1 12x14 délka nad 600 cm -pásek ozn.10</t>
  </si>
  <si>
    <t>Hranol SM/JD 1 12x18 délka 300-600 cm -krokev ozn.02 a 03</t>
  </si>
  <si>
    <t>Hranol SM/JD 1 12x18 délka nad 600 cm -krokev ozn.1</t>
  </si>
  <si>
    <t>Hranol SM/JD 1 14x14 délka 300-600 cm -sloupky ozn.07, 08, 09</t>
  </si>
  <si>
    <t>Montáž vázaných krovů pravidelných do 288 cm2</t>
  </si>
  <si>
    <t>Hranol SM/JD 1 14x20 délka 300-600 cm -ztužující rám ozn.11-15</t>
  </si>
  <si>
    <t>Montáž vázaných krovů pravidelných do 450 cm2</t>
  </si>
  <si>
    <t>Hranol SM/JD 1 14x22 délka 625-900 cm -vaznice ozn.05</t>
  </si>
  <si>
    <t>Hranol SM/JD 1 14x22 délka 200-300 cm -vaznice ozn.06</t>
  </si>
  <si>
    <t>M. bedn.střech rovn. z aglomer.desek šroubováním</t>
  </si>
  <si>
    <t>skladba STŘ1, bod 3 + skladba STŘ2, bod 3</t>
  </si>
  <si>
    <t>Deska dřevoštěpková OSB 3 N tl. 25 mm</t>
  </si>
  <si>
    <t>Bednění okapových říms z palubek pero-drážka</t>
  </si>
  <si>
    <t>včetně dodávky řeziva, palubky SM tl. 19 mm</t>
  </si>
  <si>
    <t>Spojovací a ochranné prostředky pro střechy</t>
  </si>
  <si>
    <t>Přesun hmot pro tesařské konstrukce, výšky do 6 m</t>
  </si>
  <si>
    <t>Konstrukce klempířské</t>
  </si>
  <si>
    <t>Oplech.parapetů pozink.lak.plech rš.180mm ozn.K01</t>
  </si>
  <si>
    <t>Oplech.na hraně střechy rš.200 mm poplast.plech ozn.K02</t>
  </si>
  <si>
    <t>Oplech.na hraně střechy rš.420 mm poplast.plech ozn.K05</t>
  </si>
  <si>
    <t>Žlab podokapní půlkruhový, pozink.lak.plech rš 330 mm ozn.K03</t>
  </si>
  <si>
    <t>vč.kotevních háků á 1 m</t>
  </si>
  <si>
    <t>Odpadní trouby kruhové, D 120 mm ozn.K04</t>
  </si>
  <si>
    <t xml:space="preserve">poz.lak.plech tl.0,6mm, vč.objímek a kotvení
</t>
  </si>
  <si>
    <t>Přesun hmot pro klempířské konstr., výšky do 6 m</t>
  </si>
  <si>
    <t>Konstrukce truhlářské</t>
  </si>
  <si>
    <t>M+D Sanitární příčka s dveřmi 1930/2250(2400)+1730/2250(2400) ozn.OS01</t>
  </si>
  <si>
    <t>provedení dle popisu v PD</t>
  </si>
  <si>
    <t>M+D Sanitární příčka s dveřmi 2000/2250(2400) ozn.OS02</t>
  </si>
  <si>
    <t>M+D Sanitární příčka 3200/2250(2400) ozn.OS13</t>
  </si>
  <si>
    <t>M+D okno plast.b.bílá, 5-ti komor.1250/750mm ozn.F01</t>
  </si>
  <si>
    <t>M+D Dveře 800/1970mm dle popisu v PD -ozn.D1</t>
  </si>
  <si>
    <t xml:space="preserve">vč.zárubně, kování, úpravy vč.povrchové, piktogramu
</t>
  </si>
  <si>
    <t>M+D Dveře 900/1970mm dle popisu v PD -ozn.D2</t>
  </si>
  <si>
    <t>M+D Parapet vnitřní laminát.1250/150mm ozn.OS12</t>
  </si>
  <si>
    <t>Přesun hmot pro truhlářské konstr., výšky do 6 m</t>
  </si>
  <si>
    <t>Konstrukce doplňkové stavební (zámečnické)</t>
  </si>
  <si>
    <t>M+D Zábradlí pro terasy ozn.Z 01</t>
  </si>
  <si>
    <t>provedení dle piopisu v PD vč.povrchové úpravy</t>
  </si>
  <si>
    <t>M+D Dělící stěna mezi pisoáry 620x330mm ozn.OS03</t>
  </si>
  <si>
    <t>M+D WC štětka závěsná dle popisu v PD -ozn.OS04</t>
  </si>
  <si>
    <t>M+D Dávkovač na tekuté mýdlo dle popisu v PD -ozn.OS05</t>
  </si>
  <si>
    <t>M+D Zásobník na papírové ručníky dle popisu v PD -ozn.OS 06</t>
  </si>
  <si>
    <t>M+D Odpadkový koš 50 l kov dle popisu v PD -ozn.OS 07</t>
  </si>
  <si>
    <t>M+D Odpadkový koš 5 l plast dle popisu v PD -ozn.OS 08</t>
  </si>
  <si>
    <t>M+D Zásobník na toaletní papír dle popisu v PD -ozn.OS 09</t>
  </si>
  <si>
    <t>M+D Zrcadlo 1200/600 mm dle popisu v PD -ozn.OS 10</t>
  </si>
  <si>
    <t>Přesun hmot pro zámečnické konstr., výšky do 6 m</t>
  </si>
  <si>
    <t>Podlahy z dlaždic</t>
  </si>
  <si>
    <t>Provedení penetrace podkladu</t>
  </si>
  <si>
    <t>skladba PDL1, bod 1</t>
  </si>
  <si>
    <t>Obklad soklíků rovných do tmele výšky do 100 mm</t>
  </si>
  <si>
    <t>Dlažba 300x300x9 mm dle výběru investora-standard</t>
  </si>
  <si>
    <t>Řezání dlaždic keramických pro soklíky</t>
  </si>
  <si>
    <t>Montáž podlah keram.,hladké, tmel, 30x30 cm</t>
  </si>
  <si>
    <t>Spára podlaha - stěna, silikonem+separ.provazec</t>
  </si>
  <si>
    <t>Příplatek za plochu podlah keram. do 5 m2 jednotl.</t>
  </si>
  <si>
    <t>Příplatek za spárování vodotěsnou hmotou - plošně</t>
  </si>
  <si>
    <t>Přesun hmot pro podlahy z dlaždic, výšky do 6 m</t>
  </si>
  <si>
    <t>Obklady (keramické)</t>
  </si>
  <si>
    <t>Penetrace podkladu pod obklady</t>
  </si>
  <si>
    <t>Otvor v obkladačce diamant.korunkou prům.do 30 mm</t>
  </si>
  <si>
    <t>Otvor v obkladačce diamant.korunkou prům.do 90 mm</t>
  </si>
  <si>
    <t>Montáž lišt rohových, koutových, horních</t>
  </si>
  <si>
    <t>Profil ukončovací obkladový "L" PVC  H = 10 mm</t>
  </si>
  <si>
    <t>Profil ukončovací obkladový vnější roh PVC 10 mm</t>
  </si>
  <si>
    <t>Profil obkladový kout vnitřní PVC  H = 12 mm</t>
  </si>
  <si>
    <t>Obkládání stěn obkl. pórovin. do tmele do 300x300</t>
  </si>
  <si>
    <t>Obkládačka 20x10 dle výběru investora-standard</t>
  </si>
  <si>
    <t>Příplatek za spárovací vodotěsnou hmotu - plošně</t>
  </si>
  <si>
    <t>Montáž obkladů parapetů keramic. na tmel, 20x10 cm</t>
  </si>
  <si>
    <t>ozn.OS11</t>
  </si>
  <si>
    <t>Přesun hmot pro obklady keramické, výšky do 6 m</t>
  </si>
  <si>
    <t>Nátěry</t>
  </si>
  <si>
    <t>Nátěr lazurovací tesařských konstr.2x lak</t>
  </si>
  <si>
    <t>Nátěr tesařských konstrukcí fungicidní</t>
  </si>
  <si>
    <t>Malby</t>
  </si>
  <si>
    <t>Penetrace podkladu vápenným mlékem</t>
  </si>
  <si>
    <t>Penetrace podkladu váp.mlékem sádrokarton 1x</t>
  </si>
  <si>
    <t>skladba STŘ1, bod 11</t>
  </si>
  <si>
    <t>Malba bílá otěruvzdorná, s vys.prodyšností 2x</t>
  </si>
  <si>
    <t>Malba bílá otěruvzdorná, s vys.bělostí a prodyšností sádrokarton 2x</t>
  </si>
  <si>
    <t>Všeobecné konstrukce a práce</t>
  </si>
  <si>
    <t>Zařízení staveniště</t>
  </si>
  <si>
    <t>Dokumentace skut.provedení stavby</t>
  </si>
  <si>
    <t>Kompletační činnost</t>
  </si>
  <si>
    <t>Doba výstavby:</t>
  </si>
  <si>
    <t>Začátek výstavby:</t>
  </si>
  <si>
    <t>Konec výstavby:</t>
  </si>
  <si>
    <t>Zpracováno dne:</t>
  </si>
  <si>
    <t>M.j.</t>
  </si>
  <si>
    <t>m3</t>
  </si>
  <si>
    <t>m2</t>
  </si>
  <si>
    <t>t</t>
  </si>
  <si>
    <t>kus</t>
  </si>
  <si>
    <t>m</t>
  </si>
  <si>
    <t>hod</t>
  </si>
  <si>
    <t>ku</t>
  </si>
  <si>
    <t>ks</t>
  </si>
  <si>
    <t>100 kus</t>
  </si>
  <si>
    <t>KS</t>
  </si>
  <si>
    <t>soubor</t>
  </si>
  <si>
    <t>kg</t>
  </si>
  <si>
    <t>Množství</t>
  </si>
  <si>
    <t>Jednot.</t>
  </si>
  <si>
    <t>cena (Kč)</t>
  </si>
  <si>
    <t>Náklady (Kč)</t>
  </si>
  <si>
    <t>Dodávka</t>
  </si>
  <si>
    <t>Celkem:</t>
  </si>
  <si>
    <t>Objednatel:</t>
  </si>
  <si>
    <t>Projektant:</t>
  </si>
  <si>
    <t>Zhotovitel:</t>
  </si>
  <si>
    <t>Zpracoval:</t>
  </si>
  <si>
    <t>Montáž</t>
  </si>
  <si>
    <t>Celkem</t>
  </si>
  <si>
    <t>Hmotnost (t)</t>
  </si>
  <si>
    <t>Cenová</t>
  </si>
  <si>
    <t>soustava</t>
  </si>
  <si>
    <t>RTS II / 2017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</si>
  <si>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</si>
  <si>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</si>
  <si>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</si>
  <si>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</si>
  <si>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</si>
  <si>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</si>
  <si>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</si>
  <si>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</si>
  <si>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</si>
  <si>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13_</t>
  </si>
  <si>
    <t>16_</t>
  </si>
  <si>
    <t>18_</t>
  </si>
  <si>
    <t>27_</t>
  </si>
  <si>
    <t>31_</t>
  </si>
  <si>
    <t>34_</t>
  </si>
  <si>
    <t>41_</t>
  </si>
  <si>
    <t>43_</t>
  </si>
  <si>
    <t>46_</t>
  </si>
  <si>
    <t>60_</t>
  </si>
  <si>
    <t>61_</t>
  </si>
  <si>
    <t>62_</t>
  </si>
  <si>
    <t>63_</t>
  </si>
  <si>
    <t>91_</t>
  </si>
  <si>
    <t>94_</t>
  </si>
  <si>
    <t>95_</t>
  </si>
  <si>
    <t>96_</t>
  </si>
  <si>
    <t>S_</t>
  </si>
  <si>
    <t>H01_</t>
  </si>
  <si>
    <t>711_</t>
  </si>
  <si>
    <t>712_</t>
  </si>
  <si>
    <t>713_</t>
  </si>
  <si>
    <t>721_</t>
  </si>
  <si>
    <t>722_</t>
  </si>
  <si>
    <t>740-1_</t>
  </si>
  <si>
    <t>740-2_</t>
  </si>
  <si>
    <t>762_</t>
  </si>
  <si>
    <t>764_</t>
  </si>
  <si>
    <t>766_</t>
  </si>
  <si>
    <t>767_</t>
  </si>
  <si>
    <t>771_</t>
  </si>
  <si>
    <t>781_</t>
  </si>
  <si>
    <t>783_</t>
  </si>
  <si>
    <t>784_</t>
  </si>
  <si>
    <t>0_</t>
  </si>
  <si>
    <t>1_</t>
  </si>
  <si>
    <t>2_</t>
  </si>
  <si>
    <t>3_</t>
  </si>
  <si>
    <t>4_</t>
  </si>
  <si>
    <t>6_</t>
  </si>
  <si>
    <t>9_</t>
  </si>
  <si>
    <t>71_</t>
  </si>
  <si>
    <t>72_</t>
  </si>
  <si>
    <t>74_</t>
  </si>
  <si>
    <t>76_</t>
  </si>
  <si>
    <t>77_</t>
  </si>
  <si>
    <t>78_</t>
  </si>
  <si>
    <t>_</t>
  </si>
  <si>
    <t>Jednotková cena (Kč)</t>
  </si>
  <si>
    <t>Náklady celkem (Kč)</t>
  </si>
  <si>
    <t>Cenová soustava</t>
  </si>
  <si>
    <t>Slepý stavební rozpočet - rekapitulace</t>
  </si>
  <si>
    <t>Zkrácený popis</t>
  </si>
  <si>
    <t>Náklady (Kč) - dodávka</t>
  </si>
  <si>
    <t>Náklady (Kč) - Montáž</t>
  </si>
  <si>
    <t>Náklady (Kč) - celkem</t>
  </si>
  <si>
    <t>Celková hmotnost (t)</t>
  </si>
  <si>
    <t>T</t>
  </si>
  <si>
    <t>Výkaz výměr</t>
  </si>
  <si>
    <t>(7,09+3,0+1,0+3,3)*0,4*0,75+(7,09+3,3+2,3+2,0+1,3)*0,4*0,75</t>
  </si>
  <si>
    <t>(0,4*0,2*0,75)*2+(0,2*0,2*0,75)*12+(0,2*0,2*1,25)</t>
  </si>
  <si>
    <t>9,114+0,53</t>
  </si>
  <si>
    <t>(7,09+3,0+1,0+3,3)*0,4*0,1+(7,09+3,3+2,3+2,0+1,3)*0,4*0,1</t>
  </si>
  <si>
    <t>(0,4*0,2*0,1)*2+(0,2*0,2*0,1)*13</t>
  </si>
  <si>
    <t>(40,91+138,14)*0,1</t>
  </si>
  <si>
    <t>(40,91+138,14)*2*1,25*0,00308</t>
  </si>
  <si>
    <t>(7,09+3,0+1,0+3,3)*0,4*0,8+(7,09+3,3+2,3+2,0+1,3)*0,4*0,8</t>
  </si>
  <si>
    <t>(0,2*0,2*0,8)*12+(0,2*0,2*1,3)</t>
  </si>
  <si>
    <t>3,2*(3,04+2,66)/2*2*2+(6,89*2,66)*2+(6,89*3,04)*2-1,25*0,75*6-1,0*0,75-0,9*2,02*8-1,0*2,02</t>
  </si>
  <si>
    <t>2*6,0*1,15*0,0262</t>
  </si>
  <si>
    <t>3,2*(3,215+2,835)/2*2+(2,36*2,945)</t>
  </si>
  <si>
    <t>3,2*(3,215+2,835)/2</t>
  </si>
  <si>
    <t>(3,2+1,93+1,8+1,3+2,21)*1,5</t>
  </si>
  <si>
    <t>(6,49*3,3)*2</t>
  </si>
  <si>
    <t>(6,89+3,2)*2*0,2*0,175*2</t>
  </si>
  <si>
    <t>(6,89+6,49+3,6+3,2)*2*0,35*2</t>
  </si>
  <si>
    <t>1,4126*0,025</t>
  </si>
  <si>
    <t>1,72*7</t>
  </si>
  <si>
    <t>7,07*1,6</t>
  </si>
  <si>
    <t>(1,89+4,45)*2*2,6+(3,2*2,6)*4-1,25*0,75*3-0,9*2,02*5</t>
  </si>
  <si>
    <t>(2,36*2+1,93+1,85)*2*0,9+(1,3+1,8+3,2*2)*2*0,9-1,25*0,75*3-1,0*0,75-0,9*0,52*3-1,0*0,52</t>
  </si>
  <si>
    <t>6,0*0,8</t>
  </si>
  <si>
    <t>(1,25+0,75*2)*6+(1,0+0,75*2)*1</t>
  </si>
  <si>
    <t>1,25*0,75*6+1,0*0,75+0,9*2,02*8+1,0*2,02*1</t>
  </si>
  <si>
    <t>(6,89*2,375)*2+(6,09*2,795)*2+3,6*(2,795+2,375)/2*2*2-1,25*0,75*6-1,0*0,75-0,9*1,72*8-1,0*1,72</t>
  </si>
  <si>
    <t>(3,6+6,89+3,6+6,09)*0,3*2-0,9*0,3*8-1,0*0,3</t>
  </si>
  <si>
    <t>(3,7*6,99)*2</t>
  </si>
  <si>
    <t>61,3+76,84</t>
  </si>
  <si>
    <t>(7,09+6,29+3,7*2+3,0*2+1,0*2+0,4*2)</t>
  </si>
  <si>
    <t>(7,09+6,29+3,7+3,0+0,4*8+2,3*2+2,0*2+1,3*2)</t>
  </si>
  <si>
    <t>(0,2*4)*5+(0,2*3)*8+(0,2+0,3)*2*4</t>
  </si>
  <si>
    <t>6,4+6,18+4,25+3,07+6,05+14,96</t>
  </si>
  <si>
    <t>(0,4*0,2*0,15)*2+(0,2*0,2*0,15)*13</t>
  </si>
  <si>
    <t>(7,09+3,0+1,0+3,3)*0,4*0,15+(7,09+3,3+2,3+2,0+1,3)*0,4*0,15</t>
  </si>
  <si>
    <t>4,2346*3</t>
  </si>
  <si>
    <t>4,2346*2</t>
  </si>
  <si>
    <t>75,0849+10,9224+4,8085+5,6505+4,7838+11,5843+0,273+0,2293+5,4029+47,1804+0,2381+0,0079</t>
  </si>
  <si>
    <t>(3,6+6,89)*2*0,42*2-(0,9*8*0,3)-(1,0*0,3)</t>
  </si>
  <si>
    <t>51,726</t>
  </si>
  <si>
    <t>;ztratné 10%; 5,1726</t>
  </si>
  <si>
    <t>15,1632</t>
  </si>
  <si>
    <t>;ztratné 15%; 2,27448</t>
  </si>
  <si>
    <t>(9,2+9,06+7,02+5,82+9,28+11,7)*0,3</t>
  </si>
  <si>
    <t>(9,2+9,06+7,02+5,82+9,28+11,7)</t>
  </si>
  <si>
    <t>129,5508</t>
  </si>
  <si>
    <t>;ztratné 20%; 25,91016</t>
  </si>
  <si>
    <t>(7,29*2,43)*2+(5,16*3,95)*2+(7,23*3,69)*2</t>
  </si>
  <si>
    <t>;ztratné 15%; 19,43262</t>
  </si>
  <si>
    <t>42,834</t>
  </si>
  <si>
    <t>;ztratné 15%; 6,4251</t>
  </si>
  <si>
    <t>40,91</t>
  </si>
  <si>
    <t>;ztratné 5%; 2,0455</t>
  </si>
  <si>
    <t>;ztratné 5%; 2,1417</t>
  </si>
  <si>
    <t>(7,23*2+3,69*4)*0,955</t>
  </si>
  <si>
    <t>0,6697</t>
  </si>
  <si>
    <t>3,8*20</t>
  </si>
  <si>
    <t>1,5*16+7,6*4+7,55*18+3,8*14+4,2*8+4,0*8+4,4*2+3,4*1+1,5*2</t>
  </si>
  <si>
    <t>0,12*0,14*7,6*4</t>
  </si>
  <si>
    <t>;ztratné 15%; 0,076608</t>
  </si>
  <si>
    <t>0,12*0,14*1,5*2</t>
  </si>
  <si>
    <t>0,12*0,18*3,8*14+0,12*0,18*4,2*8</t>
  </si>
  <si>
    <t>;ztratné 15%; 0,281232</t>
  </si>
  <si>
    <t>0,12*0,18*7,55*18+1,0</t>
  </si>
  <si>
    <t>;ztratné 15%; 0,590316</t>
  </si>
  <si>
    <t>(0,14*0,14)*(32,0+8,8+3,4)</t>
  </si>
  <si>
    <t>;ztratné 15%; 0,129948</t>
  </si>
  <si>
    <t>3,15*6+1,6*2+2,25*2+2,2*2+2,0*2</t>
  </si>
  <si>
    <t>0,14*0,2*35,0</t>
  </si>
  <si>
    <t>;ztratné 15%; 0,147</t>
  </si>
  <si>
    <t>4,0*8+4,4*2+3,4*1+7,25*3+2,45*1</t>
  </si>
  <si>
    <t>0,14*0,22*7,25*3</t>
  </si>
  <si>
    <t>;ztratné 15%; 0,100485</t>
  </si>
  <si>
    <t>0,14*0,22*2,45*1</t>
  </si>
  <si>
    <t>;ztratné 15%; 0,011319</t>
  </si>
  <si>
    <t>(3,95*2+7,59*2+7,29*2+7,23*2+3,69*4)*0,5</t>
  </si>
  <si>
    <t>0,58733+0,0504+2,15611+4,52576+0,99627+1,127+0,77039+0,08678+3,7245+1,0</t>
  </si>
  <si>
    <t>1,25*6+1,0*1</t>
  </si>
  <si>
    <t>9,28+11,7</t>
  </si>
  <si>
    <t>20,98*0,1</t>
  </si>
  <si>
    <t>;ztratné 5%; 0,1049</t>
  </si>
  <si>
    <t>9,2+9,06+7,02+5,82</t>
  </si>
  <si>
    <t>4,25+3,07</t>
  </si>
  <si>
    <t>(9,2+9,06+7,02+5,82)*1,5</t>
  </si>
  <si>
    <t>4,75+7,13+4,22+1,21</t>
  </si>
  <si>
    <t>(4+4+4+4)*1,5</t>
  </si>
  <si>
    <t>(3,2+1,93+1,8+1,15+2,21)+(1,25*2+1,0)+(1,5*2)*4</t>
  </si>
  <si>
    <t>17,31</t>
  </si>
  <si>
    <t>;ztratné 10%; 1,731</t>
  </si>
  <si>
    <t>25,79</t>
  </si>
  <si>
    <t>;ztratné 10%; 2,579</t>
  </si>
  <si>
    <t>24,0</t>
  </si>
  <si>
    <t>;ztratné 10%; 2,4</t>
  </si>
  <si>
    <t>46,65</t>
  </si>
  <si>
    <t>;ztratné 5%; 2,3325</t>
  </si>
  <si>
    <t>46,65+2,041</t>
  </si>
  <si>
    <t>(3,2+1,93+1,8+1,3+2,21)</t>
  </si>
  <si>
    <t>1,25*3+1,0</t>
  </si>
  <si>
    <t>2,041</t>
  </si>
  <si>
    <t>;ztratné 15%; 0,30615</t>
  </si>
  <si>
    <t>0,48*222,7+0,56*24,2+0,56*44,2+0,52*3+0,56*35+27,905+129,551+33,44</t>
  </si>
  <si>
    <t>0,6*222,7+0,56*30,4+0,72*24,2+0,56*44,2+0,52*3+0,68*35+(27,905+129,551+33,44)*2</t>
  </si>
  <si>
    <t>Rozpočtové náklady v Kč</t>
  </si>
  <si>
    <t>A</t>
  </si>
  <si>
    <t>HSV</t>
  </si>
  <si>
    <t>PSV</t>
  </si>
  <si>
    <t>"M"</t>
  </si>
  <si>
    <t>Ostatní materiál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</si>
  <si>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</si>
  <si>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</si>
  <si>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</si>
  <si>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</si>
  <si>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</si>
  <si>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</si>
  <si>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</si>
  <si>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Základní rozpočtové náklady</t>
  </si>
  <si>
    <t>Dodávky</t>
  </si>
  <si>
    <t>Krycí list slepého rozpočtu</t>
  </si>
  <si>
    <t>B</t>
  </si>
  <si>
    <t>Práce přesčas</t>
  </si>
  <si>
    <t>Bez pevné podl.</t>
  </si>
  <si>
    <t>Kulturní památka</t>
  </si>
  <si>
    <t>DN celkem</t>
  </si>
  <si>
    <t>DN celkem z obj.</t>
  </si>
  <si>
    <t>DPH 15%</t>
  </si>
  <si>
    <t>DPH 21%</t>
  </si>
  <si>
    <t>Objednatel</t>
  </si>
  <si>
    <t>Doplňkové náklady</t>
  </si>
  <si>
    <t>C</t>
  </si>
  <si>
    <t>Mimostav. doprava</t>
  </si>
  <si>
    <t>Územní vlivy</t>
  </si>
  <si>
    <t>Provozní vlivy</t>
  </si>
  <si>
    <t>Ostatní</t>
  </si>
  <si>
    <t>NUS z rozpočtu</t>
  </si>
  <si>
    <t>NUS celkem</t>
  </si>
  <si>
    <t>NUS celkem z obj.</t>
  </si>
  <si>
    <t>ORN celkem</t>
  </si>
  <si>
    <t>ORN celkem z obj.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</si>
  <si>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</si>
  <si>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</si>
  <si>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</si>
  <si>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</si>
  <si>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</si>
  <si>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</si>
  <si>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</si>
  <si>
    <t>Malba bílá omyvatelná, s vys.prodyšností 2x</t>
  </si>
  <si>
    <t>Malba bílá omyvatelná, s vys.bělostí a prodyšností sádrokarton 2x</t>
  </si>
  <si>
    <t>Obslužný objekt koupaliště, novostavba Zákupy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</si>
</sst>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dd\.mmmm\.yy"/>
  </numFmts>
  <fonts count="49">
    <font>
      <sz val="10"/>
      <name val="Arial"/>
      <family val="0"/>
    </font>
    <font>
      <sz val="10"/>
      <color indexed="8"/>
      <name val="Arial"/>
      <family val="0"/>
    </font>
    <font>
      <sz val="1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56"/>
      <name val="Arial"/>
      <family val="0"/>
    </font>
    <font>
      <sz val="10"/>
      <color indexed="61"/>
      <name val="Arial"/>
      <family val="0"/>
    </font>
    <font>
      <sz val="10"/>
      <color indexed="62"/>
      <name val="Arial"/>
      <family val="0"/>
    </font>
    <font>
      <i/>
      <sz val="8"/>
      <color indexed="8"/>
      <name val="Arial"/>
      <family val="0"/>
    </font>
    <font>
      <b/>
      <sz val="10"/>
      <color indexed="56"/>
      <name val="Arial"/>
      <family val="0"/>
    </font>
    <font>
      <sz val="10"/>
      <color indexed="59"/>
      <name val="Arial"/>
      <family val="0"/>
    </font>
    <font>
      <b/>
      <sz val="18"/>
      <color indexed="8"/>
      <name val="Arial"/>
      <family val="0"/>
    </font>
    <font>
      <b/>
      <sz val="20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11"/>
      <color indexed="8"/>
      <name val="Arial"/>
      <family val="0"/>
    </font>
    <font>
      <sz val="24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b/>
      <sz val="18"/>
      <color indexed="49"/>
      <name val="Cambria"/>
      <family val="2"/>
    </font>
    <font>
      <sz val="11"/>
      <color indexed="19"/>
      <name val="Calibri"/>
      <family val="2"/>
    </font>
    <font>
      <sz val="11"/>
      <color indexed="51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23"/>
      <name val="Calibri"/>
      <family val="2"/>
    </font>
    <font>
      <b/>
      <sz val="11"/>
      <color indexed="51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/>
    </border>
    <border>
      <left/>
      <right style="thin"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/>
    </border>
    <border>
      <left style="thin"/>
      <right/>
      <top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medium"/>
    </border>
    <border>
      <left/>
      <right style="thin"/>
      <top style="medium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35" fillId="20" borderId="2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0" fillId="22" borderId="6" applyNumberFormat="0" applyFont="0" applyAlignment="0" applyProtection="0"/>
    <xf numFmtId="43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52">
    <xf numFmtId="0" fontId="1" fillId="0" borderId="0" xfId="0" applyFont="1" applyAlignment="1">
      <alignment vertical="center"/>
    </xf>
    <xf numFmtId="0" fontId="1" fillId="0" borderId="10" xfId="0" applyNumberFormat="1" applyFont="1" applyFill="1" applyBorder="1" applyAlignment="1" applyProtection="1">
      <alignment vertical="center"/>
      <protection/>
    </xf>
    <xf numFmtId="49" fontId="3" fillId="0" borderId="11" xfId="0" applyNumberFormat="1" applyFont="1" applyFill="1" applyBorder="1" applyAlignment="1" applyProtection="1">
      <alignment vertical="center"/>
      <protection/>
    </xf>
    <xf numFmtId="49" fontId="1" fillId="0" borderId="12" xfId="0" applyNumberFormat="1" applyFont="1" applyFill="1" applyBorder="1" applyAlignment="1" applyProtection="1">
      <alignment vertical="center"/>
      <protection/>
    </xf>
    <xf numFmtId="49" fontId="4" fillId="33" borderId="13" xfId="0" applyNumberFormat="1" applyFont="1" applyFill="1" applyBorder="1" applyAlignment="1" applyProtection="1">
      <alignment vertical="center"/>
      <protection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4" fillId="33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/>
    </xf>
    <xf numFmtId="49" fontId="5" fillId="0" borderId="14" xfId="0" applyNumberFormat="1" applyFont="1" applyFill="1" applyBorder="1" applyAlignment="1" applyProtection="1">
      <alignment vertical="center"/>
      <protection/>
    </xf>
    <xf numFmtId="0" fontId="1" fillId="0" borderId="15" xfId="0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Fill="1" applyBorder="1" applyAlignment="1" applyProtection="1">
      <alignment vertical="center"/>
      <protection/>
    </xf>
    <xf numFmtId="49" fontId="3" fillId="0" borderId="16" xfId="0" applyNumberFormat="1" applyFont="1" applyFill="1" applyBorder="1" applyAlignment="1" applyProtection="1">
      <alignment vertical="center"/>
      <protection/>
    </xf>
    <xf numFmtId="49" fontId="1" fillId="0" borderId="17" xfId="0" applyNumberFormat="1" applyFont="1" applyFill="1" applyBorder="1" applyAlignment="1" applyProtection="1">
      <alignment vertical="center"/>
      <protection/>
    </xf>
    <xf numFmtId="49" fontId="8" fillId="33" borderId="13" xfId="0" applyNumberFormat="1" applyFont="1" applyFill="1" applyBorder="1" applyAlignment="1" applyProtection="1">
      <alignment vertical="center"/>
      <protection/>
    </xf>
    <xf numFmtId="49" fontId="8" fillId="33" borderId="0" xfId="0" applyNumberFormat="1" applyFont="1" applyFill="1" applyBorder="1" applyAlignment="1" applyProtection="1">
      <alignment vertical="center"/>
      <protection/>
    </xf>
    <xf numFmtId="49" fontId="3" fillId="0" borderId="17" xfId="0" applyNumberFormat="1" applyFont="1" applyFill="1" applyBorder="1" applyAlignment="1" applyProtection="1">
      <alignment vertical="center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49" fontId="1" fillId="0" borderId="0" xfId="0" applyNumberFormat="1" applyFont="1" applyFill="1" applyBorder="1" applyAlignment="1" applyProtection="1">
      <alignment vertical="center"/>
      <protection/>
    </xf>
    <xf numFmtId="49" fontId="3" fillId="0" borderId="16" xfId="0" applyNumberFormat="1" applyFont="1" applyFill="1" applyBorder="1" applyAlignment="1" applyProtection="1">
      <alignment horizontal="center" vertical="center"/>
      <protection/>
    </xf>
    <xf numFmtId="4" fontId="5" fillId="0" borderId="0" xfId="0" applyNumberFormat="1" applyFont="1" applyFill="1" applyBorder="1" applyAlignment="1" applyProtection="1">
      <alignment horizontal="right" vertical="center"/>
      <protection/>
    </xf>
    <xf numFmtId="4" fontId="6" fillId="0" borderId="0" xfId="0" applyNumberFormat="1" applyFont="1" applyFill="1" applyBorder="1" applyAlignment="1" applyProtection="1">
      <alignment horizontal="right" vertical="center"/>
      <protection/>
    </xf>
    <xf numFmtId="4" fontId="5" fillId="0" borderId="14" xfId="0" applyNumberFormat="1" applyFont="1" applyFill="1" applyBorder="1" applyAlignment="1" applyProtection="1">
      <alignment horizontal="right" vertical="center"/>
      <protection/>
    </xf>
    <xf numFmtId="49" fontId="3" fillId="0" borderId="18" xfId="0" applyNumberFormat="1" applyFont="1" applyFill="1" applyBorder="1" applyAlignment="1" applyProtection="1">
      <alignment horizontal="center" vertical="center"/>
      <protection/>
    </xf>
    <xf numFmtId="49" fontId="3" fillId="0" borderId="19" xfId="0" applyNumberFormat="1" applyFont="1" applyFill="1" applyBorder="1" applyAlignment="1" applyProtection="1">
      <alignment horizontal="center" vertical="center"/>
      <protection/>
    </xf>
    <xf numFmtId="49" fontId="3" fillId="0" borderId="20" xfId="0" applyNumberFormat="1" applyFont="1" applyFill="1" applyBorder="1" applyAlignment="1" applyProtection="1">
      <alignment horizontal="center" vertical="center"/>
      <protection/>
    </xf>
    <xf numFmtId="49" fontId="3" fillId="0" borderId="21" xfId="0" applyNumberFormat="1" applyFont="1" applyFill="1" applyBorder="1" applyAlignment="1" applyProtection="1">
      <alignment horizontal="center" vertical="center"/>
      <protection/>
    </xf>
    <xf numFmtId="49" fontId="3" fillId="0" borderId="22" xfId="0" applyNumberFormat="1" applyFont="1" applyFill="1" applyBorder="1" applyAlignment="1" applyProtection="1">
      <alignment horizontal="center" vertical="center"/>
      <protection/>
    </xf>
    <xf numFmtId="49" fontId="8" fillId="33" borderId="13" xfId="0" applyNumberFormat="1" applyFont="1" applyFill="1" applyBorder="1" applyAlignment="1" applyProtection="1">
      <alignment horizontal="right" vertical="center"/>
      <protection/>
    </xf>
    <xf numFmtId="49" fontId="8" fillId="33" borderId="0" xfId="0" applyNumberFormat="1" applyFont="1" applyFill="1" applyBorder="1" applyAlignment="1" applyProtection="1">
      <alignment horizontal="right" vertical="center"/>
      <protection/>
    </xf>
    <xf numFmtId="0" fontId="1" fillId="0" borderId="23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49" fontId="3" fillId="0" borderId="25" xfId="0" applyNumberFormat="1" applyFont="1" applyFill="1" applyBorder="1" applyAlignment="1" applyProtection="1">
      <alignment horizontal="center" vertical="center"/>
      <protection/>
    </xf>
    <xf numFmtId="49" fontId="3" fillId="0" borderId="26" xfId="0" applyNumberFormat="1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Border="1" applyAlignment="1" applyProtection="1">
      <alignment horizontal="right" vertical="center"/>
      <protection/>
    </xf>
    <xf numFmtId="49" fontId="6" fillId="0" borderId="0" xfId="0" applyNumberFormat="1" applyFont="1" applyFill="1" applyBorder="1" applyAlignment="1" applyProtection="1">
      <alignment horizontal="right" vertical="center"/>
      <protection/>
    </xf>
    <xf numFmtId="49" fontId="5" fillId="0" borderId="14" xfId="0" applyNumberFormat="1" applyFont="1" applyFill="1" applyBorder="1" applyAlignment="1" applyProtection="1">
      <alignment horizontal="right" vertical="center"/>
      <protection/>
    </xf>
    <xf numFmtId="0" fontId="1" fillId="0" borderId="27" xfId="0" applyNumberFormat="1" applyFont="1" applyFill="1" applyBorder="1" applyAlignment="1" applyProtection="1">
      <alignment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" fontId="8" fillId="33" borderId="13" xfId="0" applyNumberFormat="1" applyFont="1" applyFill="1" applyBorder="1" applyAlignment="1" applyProtection="1">
      <alignment horizontal="right" vertical="center"/>
      <protection/>
    </xf>
    <xf numFmtId="4" fontId="8" fillId="33" borderId="0" xfId="0" applyNumberFormat="1" applyFont="1" applyFill="1" applyBorder="1" applyAlignment="1" applyProtection="1">
      <alignment horizontal="right" vertical="center"/>
      <protection/>
    </xf>
    <xf numFmtId="4" fontId="3" fillId="0" borderId="15" xfId="0" applyNumberFormat="1" applyFont="1" applyFill="1" applyBorder="1" applyAlignment="1" applyProtection="1">
      <alignment horizontal="right" vertical="center"/>
      <protection/>
    </xf>
    <xf numFmtId="0" fontId="1" fillId="0" borderId="28" xfId="0" applyNumberFormat="1" applyFont="1" applyFill="1" applyBorder="1" applyAlignment="1" applyProtection="1">
      <alignment vertical="center"/>
      <protection/>
    </xf>
    <xf numFmtId="0" fontId="1" fillId="0" borderId="14" xfId="0" applyNumberFormat="1" applyFont="1" applyFill="1" applyBorder="1" applyAlignment="1" applyProtection="1">
      <alignment vertical="center"/>
      <protection/>
    </xf>
    <xf numFmtId="49" fontId="3" fillId="0" borderId="0" xfId="0" applyNumberFormat="1" applyFont="1" applyFill="1" applyBorder="1" applyAlignment="1" applyProtection="1">
      <alignment vertical="center"/>
      <protection/>
    </xf>
    <xf numFmtId="4" fontId="3" fillId="0" borderId="0" xfId="0" applyNumberFormat="1" applyFont="1" applyFill="1" applyBorder="1" applyAlignment="1" applyProtection="1">
      <alignment horizontal="right" vertical="center"/>
      <protection/>
    </xf>
    <xf numFmtId="4" fontId="5" fillId="0" borderId="0" xfId="0" applyNumberFormat="1" applyFont="1" applyFill="1" applyBorder="1" applyAlignment="1" applyProtection="1">
      <alignment vertical="center"/>
      <protection/>
    </xf>
    <xf numFmtId="4" fontId="6" fillId="0" borderId="0" xfId="0" applyNumberFormat="1" applyFont="1" applyFill="1" applyBorder="1" applyAlignment="1" applyProtection="1">
      <alignment vertical="center"/>
      <protection/>
    </xf>
    <xf numFmtId="49" fontId="3" fillId="0" borderId="29" xfId="0" applyNumberFormat="1" applyFont="1" applyFill="1" applyBorder="1" applyAlignment="1" applyProtection="1">
      <alignment vertical="center"/>
      <protection/>
    </xf>
    <xf numFmtId="49" fontId="1" fillId="0" borderId="13" xfId="0" applyNumberFormat="1" applyFont="1" applyFill="1" applyBorder="1" applyAlignment="1" applyProtection="1">
      <alignment vertical="center"/>
      <protection/>
    </xf>
    <xf numFmtId="49" fontId="3" fillId="0" borderId="30" xfId="0" applyNumberFormat="1" applyFont="1" applyFill="1" applyBorder="1" applyAlignment="1" applyProtection="1">
      <alignment vertical="center"/>
      <protection/>
    </xf>
    <xf numFmtId="49" fontId="3" fillId="0" borderId="31" xfId="0" applyNumberFormat="1" applyFont="1" applyFill="1" applyBorder="1" applyAlignment="1" applyProtection="1">
      <alignment vertical="center"/>
      <protection/>
    </xf>
    <xf numFmtId="49" fontId="3" fillId="0" borderId="31" xfId="0" applyNumberFormat="1" applyFont="1" applyFill="1" applyBorder="1" applyAlignment="1" applyProtection="1">
      <alignment horizontal="center" vertical="center"/>
      <protection/>
    </xf>
    <xf numFmtId="49" fontId="3" fillId="0" borderId="29" xfId="0" applyNumberFormat="1" applyFont="1" applyFill="1" applyBorder="1" applyAlignment="1" applyProtection="1">
      <alignment horizontal="center" vertical="center"/>
      <protection/>
    </xf>
    <xf numFmtId="4" fontId="1" fillId="0" borderId="13" xfId="0" applyNumberFormat="1" applyFont="1" applyFill="1" applyBorder="1" applyAlignment="1" applyProtection="1">
      <alignment horizontal="right" vertical="center"/>
      <protection/>
    </xf>
    <xf numFmtId="49" fontId="5" fillId="0" borderId="13" xfId="0" applyNumberFormat="1" applyFont="1" applyFill="1" applyBorder="1" applyAlignment="1" applyProtection="1">
      <alignment vertical="center"/>
      <protection/>
    </xf>
    <xf numFmtId="49" fontId="3" fillId="0" borderId="31" xfId="0" applyNumberFormat="1" applyFont="1" applyFill="1" applyBorder="1" applyAlignment="1" applyProtection="1">
      <alignment horizontal="right" vertical="center"/>
      <protection/>
    </xf>
    <xf numFmtId="4" fontId="5" fillId="0" borderId="13" xfId="0" applyNumberFormat="1" applyFont="1" applyFill="1" applyBorder="1" applyAlignment="1" applyProtection="1">
      <alignment horizontal="right" vertical="center"/>
      <protection/>
    </xf>
    <xf numFmtId="49" fontId="5" fillId="0" borderId="13" xfId="0" applyNumberFormat="1" applyFont="1" applyFill="1" applyBorder="1" applyAlignment="1" applyProtection="1">
      <alignment horizontal="right" vertical="center"/>
      <protection/>
    </xf>
    <xf numFmtId="49" fontId="11" fillId="34" borderId="32" xfId="0" applyNumberFormat="1" applyFont="1" applyFill="1" applyBorder="1" applyAlignment="1" applyProtection="1">
      <alignment horizontal="center" vertical="center"/>
      <protection/>
    </xf>
    <xf numFmtId="49" fontId="12" fillId="0" borderId="33" xfId="0" applyNumberFormat="1" applyFont="1" applyFill="1" applyBorder="1" applyAlignment="1" applyProtection="1">
      <alignment vertical="center"/>
      <protection/>
    </xf>
    <xf numFmtId="49" fontId="12" fillId="0" borderId="34" xfId="0" applyNumberFormat="1" applyFont="1" applyFill="1" applyBorder="1" applyAlignment="1" applyProtection="1">
      <alignment vertical="center"/>
      <protection/>
    </xf>
    <xf numFmtId="0" fontId="1" fillId="0" borderId="35" xfId="0" applyNumberFormat="1" applyFont="1" applyFill="1" applyBorder="1" applyAlignment="1" applyProtection="1">
      <alignment vertical="center"/>
      <protection/>
    </xf>
    <xf numFmtId="49" fontId="7" fillId="0" borderId="13" xfId="0" applyNumberFormat="1" applyFont="1" applyFill="1" applyBorder="1" applyAlignment="1" applyProtection="1">
      <alignment vertical="center"/>
      <protection/>
    </xf>
    <xf numFmtId="49" fontId="13" fillId="0" borderId="32" xfId="0" applyNumberFormat="1" applyFont="1" applyFill="1" applyBorder="1" applyAlignment="1" applyProtection="1">
      <alignment vertical="center"/>
      <protection/>
    </xf>
    <xf numFmtId="0" fontId="1" fillId="0" borderId="13" xfId="0" applyNumberFormat="1" applyFont="1" applyFill="1" applyBorder="1" applyAlignment="1" applyProtection="1">
      <alignment vertical="center"/>
      <protection/>
    </xf>
    <xf numFmtId="4" fontId="13" fillId="0" borderId="32" xfId="0" applyNumberFormat="1" applyFont="1" applyFill="1" applyBorder="1" applyAlignment="1" applyProtection="1">
      <alignment horizontal="right" vertical="center"/>
      <protection/>
    </xf>
    <xf numFmtId="49" fontId="13" fillId="0" borderId="32" xfId="0" applyNumberFormat="1" applyFont="1" applyFill="1" applyBorder="1" applyAlignment="1" applyProtection="1">
      <alignment horizontal="right" vertical="center"/>
      <protection/>
    </xf>
    <xf numFmtId="4" fontId="13" fillId="0" borderId="21" xfId="0" applyNumberFormat="1" applyFont="1" applyFill="1" applyBorder="1" applyAlignment="1" applyProtection="1">
      <alignment horizontal="right" vertical="center"/>
      <protection/>
    </xf>
    <xf numFmtId="0" fontId="1" fillId="0" borderId="36" xfId="0" applyNumberFormat="1" applyFont="1" applyFill="1" applyBorder="1" applyAlignment="1" applyProtection="1">
      <alignment vertical="center"/>
      <protection/>
    </xf>
    <xf numFmtId="0" fontId="1" fillId="0" borderId="37" xfId="0" applyNumberFormat="1" applyFont="1" applyFill="1" applyBorder="1" applyAlignment="1" applyProtection="1">
      <alignment vertical="center"/>
      <protection/>
    </xf>
    <xf numFmtId="4" fontId="12" fillId="34" borderId="38" xfId="0" applyNumberFormat="1" applyFont="1" applyFill="1" applyBorder="1" applyAlignment="1" applyProtection="1">
      <alignment horizontal="right" vertical="center"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15" fillId="0" borderId="14" xfId="0" applyNumberFormat="1" applyFont="1" applyFill="1" applyBorder="1" applyAlignment="1" applyProtection="1">
      <alignment horizontal="center" vertical="center" wrapText="1"/>
      <protection/>
    </xf>
    <xf numFmtId="0" fontId="15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39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vertical="center"/>
      <protection/>
    </xf>
    <xf numFmtId="0" fontId="1" fillId="0" borderId="1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vertical="center" wrapText="1"/>
      <protection/>
    </xf>
    <xf numFmtId="0" fontId="3" fillId="0" borderId="15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1" fillId="0" borderId="15" xfId="0" applyNumberFormat="1" applyFont="1" applyFill="1" applyBorder="1" applyAlignment="1" applyProtection="1">
      <alignment vertical="center" wrapText="1"/>
      <protection/>
    </xf>
    <xf numFmtId="49" fontId="1" fillId="0" borderId="23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49" fontId="1" fillId="0" borderId="24" xfId="0" applyNumberFormat="1" applyFont="1" applyFill="1" applyBorder="1" applyAlignment="1" applyProtection="1">
      <alignment vertical="center"/>
      <protection/>
    </xf>
    <xf numFmtId="49" fontId="1" fillId="0" borderId="0" xfId="0" applyNumberFormat="1" applyFont="1" applyFill="1" applyBorder="1" applyAlignment="1" applyProtection="1">
      <alignment vertical="center"/>
      <protection/>
    </xf>
    <xf numFmtId="0" fontId="1" fillId="0" borderId="28" xfId="0" applyNumberFormat="1" applyFont="1" applyFill="1" applyBorder="1" applyAlignment="1" applyProtection="1">
      <alignment vertical="center"/>
      <protection/>
    </xf>
    <xf numFmtId="0" fontId="1" fillId="0" borderId="14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 vertical="center" wrapText="1"/>
      <protection/>
    </xf>
    <xf numFmtId="0" fontId="1" fillId="0" borderId="40" xfId="0" applyNumberFormat="1" applyFont="1" applyFill="1" applyBorder="1" applyAlignment="1" applyProtection="1">
      <alignment vertical="center"/>
      <protection/>
    </xf>
    <xf numFmtId="49" fontId="10" fillId="0" borderId="41" xfId="0" applyNumberFormat="1" applyFont="1" applyFill="1" applyBorder="1" applyAlignment="1" applyProtection="1">
      <alignment horizontal="center" vertical="center"/>
      <protection/>
    </xf>
    <xf numFmtId="0" fontId="10" fillId="0" borderId="41" xfId="0" applyNumberFormat="1" applyFont="1" applyFill="1" applyBorder="1" applyAlignment="1" applyProtection="1">
      <alignment horizontal="center" vertical="center"/>
      <protection/>
    </xf>
    <xf numFmtId="49" fontId="14" fillId="0" borderId="37" xfId="0" applyNumberFormat="1" applyFont="1" applyFill="1" applyBorder="1" applyAlignment="1" applyProtection="1">
      <alignment vertical="center"/>
      <protection/>
    </xf>
    <xf numFmtId="0" fontId="14" fillId="0" borderId="38" xfId="0" applyNumberFormat="1" applyFont="1" applyFill="1" applyBorder="1" applyAlignment="1" applyProtection="1">
      <alignment vertical="center"/>
      <protection/>
    </xf>
    <xf numFmtId="49" fontId="13" fillId="0" borderId="37" xfId="0" applyNumberFormat="1" applyFont="1" applyFill="1" applyBorder="1" applyAlignment="1" applyProtection="1">
      <alignment vertical="center"/>
      <protection/>
    </xf>
    <xf numFmtId="0" fontId="13" fillId="0" borderId="38" xfId="0" applyNumberFormat="1" applyFont="1" applyFill="1" applyBorder="1" applyAlignment="1" applyProtection="1">
      <alignment vertical="center"/>
      <protection/>
    </xf>
    <xf numFmtId="49" fontId="12" fillId="0" borderId="37" xfId="0" applyNumberFormat="1" applyFont="1" applyFill="1" applyBorder="1" applyAlignment="1" applyProtection="1">
      <alignment vertical="center"/>
      <protection/>
    </xf>
    <xf numFmtId="0" fontId="12" fillId="0" borderId="38" xfId="0" applyNumberFormat="1" applyFont="1" applyFill="1" applyBorder="1" applyAlignment="1" applyProtection="1">
      <alignment vertical="center"/>
      <protection/>
    </xf>
    <xf numFmtId="49" fontId="12" fillId="34" borderId="37" xfId="0" applyNumberFormat="1" applyFont="1" applyFill="1" applyBorder="1" applyAlignment="1" applyProtection="1">
      <alignment vertical="center"/>
      <protection/>
    </xf>
    <xf numFmtId="0" fontId="12" fillId="34" borderId="41" xfId="0" applyNumberFormat="1" applyFont="1" applyFill="1" applyBorder="1" applyAlignment="1" applyProtection="1">
      <alignment vertical="center"/>
      <protection/>
    </xf>
    <xf numFmtId="49" fontId="13" fillId="0" borderId="42" xfId="0" applyNumberFormat="1" applyFont="1" applyFill="1" applyBorder="1" applyAlignment="1" applyProtection="1">
      <alignment vertical="center"/>
      <protection/>
    </xf>
    <xf numFmtId="0" fontId="13" fillId="0" borderId="13" xfId="0" applyNumberFormat="1" applyFont="1" applyFill="1" applyBorder="1" applyAlignment="1" applyProtection="1">
      <alignment vertical="center"/>
      <protection/>
    </xf>
    <xf numFmtId="0" fontId="13" fillId="0" borderId="43" xfId="0" applyNumberFormat="1" applyFont="1" applyFill="1" applyBorder="1" applyAlignment="1" applyProtection="1">
      <alignment vertical="center"/>
      <protection/>
    </xf>
    <xf numFmtId="49" fontId="13" fillId="0" borderId="27" xfId="0" applyNumberFormat="1" applyFont="1" applyFill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13" fillId="0" borderId="44" xfId="0" applyNumberFormat="1" applyFont="1" applyFill="1" applyBorder="1" applyAlignment="1" applyProtection="1">
      <alignment vertical="center"/>
      <protection/>
    </xf>
    <xf numFmtId="49" fontId="13" fillId="0" borderId="45" xfId="0" applyNumberFormat="1" applyFont="1" applyFill="1" applyBorder="1" applyAlignment="1" applyProtection="1">
      <alignment vertical="center"/>
      <protection/>
    </xf>
    <xf numFmtId="0" fontId="13" fillId="0" borderId="46" xfId="0" applyNumberFormat="1" applyFont="1" applyFill="1" applyBorder="1" applyAlignment="1" applyProtection="1">
      <alignment vertical="center"/>
      <protection/>
    </xf>
    <xf numFmtId="0" fontId="13" fillId="0" borderId="47" xfId="0" applyNumberFormat="1" applyFont="1" applyFill="1" applyBorder="1" applyAlignment="1" applyProtection="1">
      <alignment vertical="center"/>
      <protection/>
    </xf>
    <xf numFmtId="49" fontId="2" fillId="0" borderId="14" xfId="0" applyNumberFormat="1" applyFont="1" applyFill="1" applyBorder="1" applyAlignment="1" applyProtection="1">
      <alignment horizontal="center"/>
      <protection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23" xfId="0" applyNumberFormat="1" applyFont="1" applyFill="1" applyBorder="1" applyAlignment="1" applyProtection="1">
      <alignment vertical="center"/>
      <protection/>
    </xf>
    <xf numFmtId="0" fontId="1" fillId="0" borderId="48" xfId="0" applyNumberFormat="1" applyFont="1" applyFill="1" applyBorder="1" applyAlignment="1" applyProtection="1">
      <alignment vertical="center"/>
      <protection/>
    </xf>
    <xf numFmtId="0" fontId="1" fillId="0" borderId="46" xfId="0" applyNumberFormat="1" applyFont="1" applyFill="1" applyBorder="1" applyAlignment="1" applyProtection="1">
      <alignment vertical="center"/>
      <protection/>
    </xf>
    <xf numFmtId="0" fontId="1" fillId="0" borderId="49" xfId="0" applyNumberFormat="1" applyFont="1" applyFill="1" applyBorder="1" applyAlignment="1" applyProtection="1">
      <alignment vertical="center"/>
      <protection/>
    </xf>
    <xf numFmtId="49" fontId="1" fillId="0" borderId="15" xfId="0" applyNumberFormat="1" applyFont="1" applyFill="1" applyBorder="1" applyAlignment="1" applyProtection="1">
      <alignment vertical="center"/>
      <protection/>
    </xf>
    <xf numFmtId="49" fontId="3" fillId="0" borderId="50" xfId="0" applyNumberFormat="1" applyFont="1" applyFill="1" applyBorder="1" applyAlignment="1" applyProtection="1">
      <alignment horizontal="center" vertical="center"/>
      <protection/>
    </xf>
    <xf numFmtId="0" fontId="3" fillId="0" borderId="51" xfId="0" applyNumberFormat="1" applyFont="1" applyFill="1" applyBorder="1" applyAlignment="1" applyProtection="1">
      <alignment horizontal="center" vertical="center"/>
      <protection/>
    </xf>
    <xf numFmtId="0" fontId="3" fillId="0" borderId="52" xfId="0" applyNumberFormat="1" applyFont="1" applyFill="1" applyBorder="1" applyAlignment="1" applyProtection="1">
      <alignment horizontal="center" vertical="center"/>
      <protection/>
    </xf>
    <xf numFmtId="49" fontId="3" fillId="0" borderId="15" xfId="0" applyNumberFormat="1" applyFont="1" applyFill="1" applyBorder="1" applyAlignment="1" applyProtection="1">
      <alignment vertical="center"/>
      <protection/>
    </xf>
    <xf numFmtId="49" fontId="3" fillId="0" borderId="53" xfId="0" applyNumberFormat="1" applyFont="1" applyFill="1" applyBorder="1" applyAlignment="1" applyProtection="1">
      <alignment vertical="center"/>
      <protection/>
    </xf>
    <xf numFmtId="0" fontId="3" fillId="0" borderId="54" xfId="0" applyNumberFormat="1" applyFont="1" applyFill="1" applyBorder="1" applyAlignment="1" applyProtection="1">
      <alignment vertical="center"/>
      <protection/>
    </xf>
    <xf numFmtId="0" fontId="3" fillId="0" borderId="35" xfId="0" applyNumberFormat="1" applyFont="1" applyFill="1" applyBorder="1" applyAlignment="1" applyProtection="1">
      <alignment vertical="center"/>
      <protection/>
    </xf>
    <xf numFmtId="0" fontId="3" fillId="0" borderId="55" xfId="0" applyNumberFormat="1" applyFont="1" applyFill="1" applyBorder="1" applyAlignment="1" applyProtection="1">
      <alignment vertical="center"/>
      <protection/>
    </xf>
    <xf numFmtId="49" fontId="3" fillId="33" borderId="13" xfId="0" applyNumberFormat="1" applyFont="1" applyFill="1" applyBorder="1" applyAlignment="1" applyProtection="1">
      <alignment vertical="center"/>
      <protection/>
    </xf>
    <xf numFmtId="0" fontId="3" fillId="33" borderId="13" xfId="0" applyNumberFormat="1" applyFont="1" applyFill="1" applyBorder="1" applyAlignment="1" applyProtection="1">
      <alignment vertical="center"/>
      <protection/>
    </xf>
    <xf numFmtId="49" fontId="3" fillId="33" borderId="13" xfId="0" applyNumberFormat="1" applyFont="1" applyFill="1" applyBorder="1" applyAlignment="1" applyProtection="1">
      <alignment horizontal="right" vertical="center"/>
      <protection/>
    </xf>
    <xf numFmtId="0" fontId="3" fillId="33" borderId="13" xfId="0" applyNumberFormat="1" applyFont="1" applyFill="1" applyBorder="1" applyAlignment="1" applyProtection="1">
      <alignment horizontal="right" vertical="center"/>
      <protection/>
    </xf>
    <xf numFmtId="4" fontId="3" fillId="33" borderId="13" xfId="0" applyNumberFormat="1" applyFont="1" applyFill="1" applyBorder="1" applyAlignment="1" applyProtection="1">
      <alignment horizontal="right" vertical="center"/>
      <protection/>
    </xf>
    <xf numFmtId="49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4" fontId="5" fillId="0" borderId="0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 horizontal="right" vertical="center"/>
      <protection/>
    </xf>
    <xf numFmtId="49" fontId="3" fillId="33" borderId="0" xfId="0" applyNumberFormat="1" applyFont="1" applyFill="1" applyBorder="1" applyAlignment="1" applyProtection="1">
      <alignment vertical="center"/>
      <protection/>
    </xf>
    <xf numFmtId="0" fontId="3" fillId="33" borderId="0" xfId="0" applyNumberFormat="1" applyFont="1" applyFill="1" applyBorder="1" applyAlignment="1" applyProtection="1">
      <alignment vertical="center"/>
      <protection/>
    </xf>
    <xf numFmtId="49" fontId="3" fillId="33" borderId="0" xfId="0" applyNumberFormat="1" applyFont="1" applyFill="1" applyBorder="1" applyAlignment="1" applyProtection="1">
      <alignment horizontal="right" vertical="center"/>
      <protection/>
    </xf>
    <xf numFmtId="0" fontId="3" fillId="33" borderId="0" xfId="0" applyNumberFormat="1" applyFont="1" applyFill="1" applyBorder="1" applyAlignment="1" applyProtection="1">
      <alignment horizontal="right" vertical="center"/>
      <protection/>
    </xf>
    <xf numFmtId="4" fontId="3" fillId="33" borderId="0" xfId="0" applyNumberFormat="1" applyFont="1" applyFill="1" applyBorder="1" applyAlignment="1" applyProtection="1">
      <alignment horizontal="right" vertical="center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0" fontId="9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4" fontId="6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0" xfId="0" applyNumberFormat="1" applyFont="1" applyFill="1" applyBorder="1" applyAlignment="1" applyProtection="1">
      <alignment horizontal="right" vertical="center"/>
      <protection/>
    </xf>
    <xf numFmtId="4" fontId="8" fillId="33" borderId="0" xfId="0" applyNumberFormat="1" applyFont="1" applyFill="1" applyBorder="1" applyAlignment="1" applyProtection="1">
      <alignment horizontal="right" vertical="center"/>
      <protection/>
    </xf>
    <xf numFmtId="0" fontId="8" fillId="33" borderId="0" xfId="0" applyNumberFormat="1" applyFont="1" applyFill="1" applyBorder="1" applyAlignment="1" applyProtection="1">
      <alignment horizontal="right" vertical="center"/>
      <protection/>
    </xf>
    <xf numFmtId="49" fontId="3" fillId="0" borderId="0" xfId="0" applyNumberFormat="1" applyFont="1" applyFill="1" applyBorder="1" applyAlignment="1" applyProtection="1">
      <alignment vertical="center"/>
      <protection/>
    </xf>
    <xf numFmtId="4" fontId="3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horizontal="right" vertical="center"/>
      <protection/>
    </xf>
  </cellXfs>
  <cellStyles count="44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 [0]" xfId="35"/>
    <cellStyle name="Kontrolní buňka" xfId="36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000000"/>
      <rgbColor rgb="00DBDBDB"/>
      <rgbColor rgb="00000000"/>
      <rgbColor rgb="00C0C0C0"/>
      <rgbColor rgb="00000000"/>
      <rgbColor rgb="00C0C0C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PageLayoutView="0" workbookViewId="0" topLeftCell="A1">
      <selection activeCell="I10" sqref="I10:I11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2.8515625" style="0" customWidth="1"/>
    <col min="9" max="9" width="22.8515625" style="0" customWidth="1"/>
  </cols>
  <sheetData>
    <row r="1" spans="1:9" ht="72.75" customHeight="1">
      <c r="A1" s="72"/>
      <c r="B1" s="43"/>
      <c r="C1" s="73" t="s">
        <v>1363</v>
      </c>
      <c r="D1" s="74"/>
      <c r="E1" s="74"/>
      <c r="F1" s="74"/>
      <c r="G1" s="74"/>
      <c r="H1" s="74"/>
      <c r="I1" s="74"/>
    </row>
    <row r="2" spans="1:10" ht="12.75">
      <c r="A2" s="75" t="s">
        <v>1</v>
      </c>
      <c r="B2" s="76"/>
      <c r="C2" s="79" t="str">
        <f>'Stavební rozpočet'!D2</f>
        <v>Obslužný objekt koupaliště, novostavba Zákupy</v>
      </c>
      <c r="D2" s="80"/>
      <c r="E2" s="82" t="s">
        <v>1168</v>
      </c>
      <c r="F2" s="82" t="str">
        <f>'Stavební rozpočet'!J2</f>
        <v> </v>
      </c>
      <c r="G2" s="76"/>
      <c r="H2" s="82" t="s">
        <v>1387</v>
      </c>
      <c r="I2" s="83"/>
      <c r="J2" s="1"/>
    </row>
    <row r="3" spans="1:10" ht="12.75">
      <c r="A3" s="77"/>
      <c r="B3" s="78"/>
      <c r="C3" s="81"/>
      <c r="D3" s="81"/>
      <c r="E3" s="78"/>
      <c r="F3" s="78"/>
      <c r="G3" s="78"/>
      <c r="H3" s="78"/>
      <c r="I3" s="84"/>
      <c r="J3" s="1"/>
    </row>
    <row r="4" spans="1:10" ht="12.75">
      <c r="A4" s="85" t="s">
        <v>2</v>
      </c>
      <c r="B4" s="78"/>
      <c r="C4" s="86" t="str">
        <f>'Stavební rozpočet'!D4</f>
        <v> </v>
      </c>
      <c r="D4" s="78"/>
      <c r="E4" s="86" t="s">
        <v>1169</v>
      </c>
      <c r="F4" s="86" t="str">
        <f>'Stavební rozpočet'!J4</f>
        <v> </v>
      </c>
      <c r="G4" s="78"/>
      <c r="H4" s="86" t="s">
        <v>1387</v>
      </c>
      <c r="I4" s="87"/>
      <c r="J4" s="1"/>
    </row>
    <row r="5" spans="1:10" ht="12.75">
      <c r="A5" s="77"/>
      <c r="B5" s="78"/>
      <c r="C5" s="78"/>
      <c r="D5" s="78"/>
      <c r="E5" s="78"/>
      <c r="F5" s="78"/>
      <c r="G5" s="78"/>
      <c r="H5" s="78"/>
      <c r="I5" s="84"/>
      <c r="J5" s="1"/>
    </row>
    <row r="6" spans="1:10" ht="12.75">
      <c r="A6" s="85" t="s">
        <v>3</v>
      </c>
      <c r="B6" s="78"/>
      <c r="C6" s="86" t="str">
        <f>'Stavební rozpočet'!D6</f>
        <v> </v>
      </c>
      <c r="D6" s="78"/>
      <c r="E6" s="86" t="s">
        <v>1170</v>
      </c>
      <c r="F6" s="86" t="str">
        <f>'Stavební rozpočet'!J6</f>
        <v> </v>
      </c>
      <c r="G6" s="78"/>
      <c r="H6" s="86" t="s">
        <v>1387</v>
      </c>
      <c r="I6" s="87"/>
      <c r="J6" s="1"/>
    </row>
    <row r="7" spans="1:10" ht="12.75">
      <c r="A7" s="77"/>
      <c r="B7" s="78"/>
      <c r="C7" s="78"/>
      <c r="D7" s="78"/>
      <c r="E7" s="78"/>
      <c r="F7" s="78"/>
      <c r="G7" s="78"/>
      <c r="H7" s="78"/>
      <c r="I7" s="84"/>
      <c r="J7" s="1"/>
    </row>
    <row r="8" spans="1:10" ht="12.75">
      <c r="A8" s="85" t="s">
        <v>1146</v>
      </c>
      <c r="B8" s="78"/>
      <c r="C8" s="86"/>
      <c r="D8" s="78"/>
      <c r="E8" s="86" t="s">
        <v>1147</v>
      </c>
      <c r="F8" s="86" t="str">
        <f>'Stavební rozpočet'!G6</f>
        <v> </v>
      </c>
      <c r="G8" s="78"/>
      <c r="H8" s="88" t="s">
        <v>1388</v>
      </c>
      <c r="I8" s="87" t="s">
        <v>376</v>
      </c>
      <c r="J8" s="1"/>
    </row>
    <row r="9" spans="1:10" ht="12.75">
      <c r="A9" s="77"/>
      <c r="B9" s="78"/>
      <c r="C9" s="78"/>
      <c r="D9" s="78"/>
      <c r="E9" s="78"/>
      <c r="F9" s="78"/>
      <c r="G9" s="78"/>
      <c r="H9" s="78"/>
      <c r="I9" s="84"/>
      <c r="J9" s="1"/>
    </row>
    <row r="10" spans="1:10" ht="12.75">
      <c r="A10" s="85" t="s">
        <v>4</v>
      </c>
      <c r="B10" s="78"/>
      <c r="C10" s="86" t="str">
        <f>'Stavební rozpočet'!D8</f>
        <v> </v>
      </c>
      <c r="D10" s="78"/>
      <c r="E10" s="86" t="s">
        <v>1171</v>
      </c>
      <c r="F10" s="86" t="str">
        <f>'Stavební rozpočet'!J8</f>
        <v> </v>
      </c>
      <c r="G10" s="78"/>
      <c r="H10" s="88" t="s">
        <v>1389</v>
      </c>
      <c r="I10" s="91"/>
      <c r="J10" s="1"/>
    </row>
    <row r="11" spans="1:10" ht="12.75">
      <c r="A11" s="89"/>
      <c r="B11" s="90"/>
      <c r="C11" s="90"/>
      <c r="D11" s="90"/>
      <c r="E11" s="90"/>
      <c r="F11" s="90"/>
      <c r="G11" s="90"/>
      <c r="H11" s="90"/>
      <c r="I11" s="92"/>
      <c r="J11" s="1"/>
    </row>
    <row r="12" spans="1:9" ht="23.25" customHeight="1">
      <c r="A12" s="93" t="s">
        <v>1348</v>
      </c>
      <c r="B12" s="94"/>
      <c r="C12" s="94"/>
      <c r="D12" s="94"/>
      <c r="E12" s="94"/>
      <c r="F12" s="94"/>
      <c r="G12" s="94"/>
      <c r="H12" s="94"/>
      <c r="I12" s="94"/>
    </row>
    <row r="13" spans="1:10" ht="26.25" customHeight="1">
      <c r="A13" s="59" t="s">
        <v>1349</v>
      </c>
      <c r="B13" s="95" t="s">
        <v>1361</v>
      </c>
      <c r="C13" s="96"/>
      <c r="D13" s="59" t="s">
        <v>1364</v>
      </c>
      <c r="E13" s="95" t="s">
        <v>1373</v>
      </c>
      <c r="F13" s="96"/>
      <c r="G13" s="59" t="s">
        <v>1374</v>
      </c>
      <c r="H13" s="95" t="s">
        <v>1390</v>
      </c>
      <c r="I13" s="96"/>
      <c r="J13" s="1"/>
    </row>
    <row r="14" spans="1:10" ht="15" customHeight="1">
      <c r="A14" s="60" t="s">
        <v>1350</v>
      </c>
      <c r="B14" s="64" t="s">
        <v>1362</v>
      </c>
      <c r="C14" s="66">
        <f>SUM('Stavební rozpočet'!R12:R463)</f>
        <v>0</v>
      </c>
      <c r="D14" s="97" t="s">
        <v>1365</v>
      </c>
      <c r="E14" s="98"/>
      <c r="F14" s="66">
        <v>0</v>
      </c>
      <c r="G14" s="97" t="s">
        <v>1142</v>
      </c>
      <c r="H14" s="98"/>
      <c r="I14" s="66">
        <v>0</v>
      </c>
      <c r="J14" s="1"/>
    </row>
    <row r="15" spans="1:10" ht="15" customHeight="1">
      <c r="A15" s="61"/>
      <c r="B15" s="64" t="s">
        <v>1172</v>
      </c>
      <c r="C15" s="66">
        <f>SUM('Stavební rozpočet'!S12:S463)</f>
        <v>0</v>
      </c>
      <c r="D15" s="97" t="s">
        <v>1366</v>
      </c>
      <c r="E15" s="98"/>
      <c r="F15" s="66">
        <v>0</v>
      </c>
      <c r="G15" s="97" t="s">
        <v>1375</v>
      </c>
      <c r="H15" s="98"/>
      <c r="I15" s="66">
        <v>0</v>
      </c>
      <c r="J15" s="1"/>
    </row>
    <row r="16" spans="1:10" ht="15" customHeight="1">
      <c r="A16" s="60" t="s">
        <v>1351</v>
      </c>
      <c r="B16" s="64" t="s">
        <v>1362</v>
      </c>
      <c r="C16" s="66">
        <f>SUM('Stavební rozpočet'!T12:T463)</f>
        <v>0</v>
      </c>
      <c r="D16" s="97" t="s">
        <v>1367</v>
      </c>
      <c r="E16" s="98"/>
      <c r="F16" s="66">
        <v>0</v>
      </c>
      <c r="G16" s="97" t="s">
        <v>1376</v>
      </c>
      <c r="H16" s="98"/>
      <c r="I16" s="66">
        <v>0</v>
      </c>
      <c r="J16" s="1"/>
    </row>
    <row r="17" spans="1:10" ht="15" customHeight="1">
      <c r="A17" s="61"/>
      <c r="B17" s="64" t="s">
        <v>1172</v>
      </c>
      <c r="C17" s="66">
        <f>SUM('Stavební rozpočet'!U12:U463)</f>
        <v>0</v>
      </c>
      <c r="D17" s="97"/>
      <c r="E17" s="98"/>
      <c r="F17" s="67"/>
      <c r="G17" s="97" t="s">
        <v>1377</v>
      </c>
      <c r="H17" s="98"/>
      <c r="I17" s="66">
        <v>0</v>
      </c>
      <c r="J17" s="1"/>
    </row>
    <row r="18" spans="1:10" ht="15" customHeight="1">
      <c r="A18" s="60" t="s">
        <v>1352</v>
      </c>
      <c r="B18" s="64" t="s">
        <v>1362</v>
      </c>
      <c r="C18" s="66">
        <f>SUM('Stavební rozpočet'!V12:V463)</f>
        <v>0</v>
      </c>
      <c r="D18" s="97"/>
      <c r="E18" s="98"/>
      <c r="F18" s="67"/>
      <c r="G18" s="97" t="s">
        <v>1378</v>
      </c>
      <c r="H18" s="98"/>
      <c r="I18" s="66">
        <v>0</v>
      </c>
      <c r="J18" s="1"/>
    </row>
    <row r="19" spans="1:10" ht="15" customHeight="1">
      <c r="A19" s="61"/>
      <c r="B19" s="64" t="s">
        <v>1172</v>
      </c>
      <c r="C19" s="66">
        <f>SUM('Stavební rozpočet'!W12:W463)</f>
        <v>0</v>
      </c>
      <c r="D19" s="97"/>
      <c r="E19" s="98"/>
      <c r="F19" s="67"/>
      <c r="G19" s="97" t="s">
        <v>1379</v>
      </c>
      <c r="H19" s="98"/>
      <c r="I19" s="66">
        <v>0</v>
      </c>
      <c r="J19" s="1"/>
    </row>
    <row r="20" spans="1:10" ht="15" customHeight="1">
      <c r="A20" s="99" t="s">
        <v>1353</v>
      </c>
      <c r="B20" s="100"/>
      <c r="C20" s="66">
        <f>SUM('Stavební rozpočet'!X12:X463)</f>
        <v>0</v>
      </c>
      <c r="D20" s="97"/>
      <c r="E20" s="98"/>
      <c r="F20" s="67"/>
      <c r="G20" s="97"/>
      <c r="H20" s="98"/>
      <c r="I20" s="67"/>
      <c r="J20" s="1"/>
    </row>
    <row r="21" spans="1:10" ht="15" customHeight="1">
      <c r="A21" s="99" t="s">
        <v>1354</v>
      </c>
      <c r="B21" s="100"/>
      <c r="C21" s="66">
        <f>SUM('Stavební rozpočet'!P12:P463)</f>
        <v>0</v>
      </c>
      <c r="D21" s="97"/>
      <c r="E21" s="98"/>
      <c r="F21" s="67"/>
      <c r="G21" s="97"/>
      <c r="H21" s="98"/>
      <c r="I21" s="67"/>
      <c r="J21" s="1"/>
    </row>
    <row r="22" spans="1:10" ht="16.5" customHeight="1">
      <c r="A22" s="99" t="s">
        <v>1355</v>
      </c>
      <c r="B22" s="100"/>
      <c r="C22" s="66">
        <f>SUM(C14:C21)</f>
        <v>0</v>
      </c>
      <c r="D22" s="99" t="s">
        <v>1368</v>
      </c>
      <c r="E22" s="100"/>
      <c r="F22" s="66">
        <f>SUM(F14:F21)</f>
        <v>0</v>
      </c>
      <c r="G22" s="99" t="s">
        <v>1380</v>
      </c>
      <c r="H22" s="100"/>
      <c r="I22" s="66">
        <f>SUM(I14:I21)</f>
        <v>0</v>
      </c>
      <c r="J22" s="1"/>
    </row>
    <row r="23" spans="1:10" ht="15" customHeight="1">
      <c r="A23" s="9"/>
      <c r="B23" s="9"/>
      <c r="C23" s="29"/>
      <c r="D23" s="99" t="s">
        <v>1369</v>
      </c>
      <c r="E23" s="100"/>
      <c r="F23" s="68">
        <v>0</v>
      </c>
      <c r="G23" s="99" t="s">
        <v>1381</v>
      </c>
      <c r="H23" s="100"/>
      <c r="I23" s="66">
        <v>0</v>
      </c>
      <c r="J23" s="1"/>
    </row>
    <row r="24" spans="4:9" ht="15" customHeight="1">
      <c r="D24" s="9"/>
      <c r="E24" s="9"/>
      <c r="F24" s="69"/>
      <c r="G24" s="99" t="s">
        <v>1382</v>
      </c>
      <c r="H24" s="100"/>
      <c r="I24" s="70"/>
    </row>
    <row r="25" spans="6:10" ht="15" customHeight="1">
      <c r="F25" s="30"/>
      <c r="G25" s="99" t="s">
        <v>1383</v>
      </c>
      <c r="H25" s="100"/>
      <c r="I25" s="66">
        <v>0</v>
      </c>
      <c r="J25" s="1"/>
    </row>
    <row r="26" spans="1:9" ht="12.75">
      <c r="A26" s="43"/>
      <c r="B26" s="43"/>
      <c r="C26" s="43"/>
      <c r="G26" s="9"/>
      <c r="H26" s="9"/>
      <c r="I26" s="9"/>
    </row>
    <row r="27" spans="1:9" ht="15" customHeight="1">
      <c r="A27" s="101" t="s">
        <v>1356</v>
      </c>
      <c r="B27" s="102"/>
      <c r="C27" s="71">
        <f>SUM('Stavební rozpočet'!Z12:Z463)</f>
        <v>0</v>
      </c>
      <c r="D27" s="42"/>
      <c r="E27" s="43"/>
      <c r="F27" s="43"/>
      <c r="G27" s="43"/>
      <c r="H27" s="43"/>
      <c r="I27" s="43"/>
    </row>
    <row r="28" spans="1:10" ht="15" customHeight="1">
      <c r="A28" s="101" t="s">
        <v>1357</v>
      </c>
      <c r="B28" s="102"/>
      <c r="C28" s="71">
        <f>SUM('Stavební rozpočet'!AA12:AA463)</f>
        <v>0</v>
      </c>
      <c r="D28" s="101" t="s">
        <v>1370</v>
      </c>
      <c r="E28" s="102"/>
      <c r="F28" s="71">
        <f>ROUND(C28*(15/100),2)</f>
        <v>0</v>
      </c>
      <c r="G28" s="101" t="s">
        <v>1384</v>
      </c>
      <c r="H28" s="102"/>
      <c r="I28" s="71">
        <f>SUM(C27:C29)</f>
        <v>0</v>
      </c>
      <c r="J28" s="1"/>
    </row>
    <row r="29" spans="1:10" ht="15" customHeight="1">
      <c r="A29" s="101" t="s">
        <v>1358</v>
      </c>
      <c r="B29" s="102"/>
      <c r="C29" s="71">
        <f>SUM('Stavební rozpočet'!AB12:AB463)+(F22+I22+F23+I23+I24+I25)</f>
        <v>0</v>
      </c>
      <c r="D29" s="101" t="s">
        <v>1371</v>
      </c>
      <c r="E29" s="102"/>
      <c r="F29" s="71">
        <f>ROUND(C29*(21/100),2)</f>
        <v>0</v>
      </c>
      <c r="G29" s="101" t="s">
        <v>1385</v>
      </c>
      <c r="H29" s="102"/>
      <c r="I29" s="71">
        <f>SUM(F28:F29)+I28</f>
        <v>0</v>
      </c>
      <c r="J29" s="1"/>
    </row>
    <row r="30" spans="1:9" ht="12.75">
      <c r="A30" s="62"/>
      <c r="B30" s="62"/>
      <c r="C30" s="62"/>
      <c r="D30" s="62"/>
      <c r="E30" s="62"/>
      <c r="F30" s="62"/>
      <c r="G30" s="62"/>
      <c r="H30" s="62"/>
      <c r="I30" s="62"/>
    </row>
    <row r="31" spans="1:10" ht="14.25" customHeight="1">
      <c r="A31" s="103" t="s">
        <v>1359</v>
      </c>
      <c r="B31" s="104"/>
      <c r="C31" s="105"/>
      <c r="D31" s="103" t="s">
        <v>1372</v>
      </c>
      <c r="E31" s="104"/>
      <c r="F31" s="105"/>
      <c r="G31" s="103" t="s">
        <v>1386</v>
      </c>
      <c r="H31" s="104"/>
      <c r="I31" s="105"/>
      <c r="J31" s="36"/>
    </row>
    <row r="32" spans="1:10" ht="14.25" customHeight="1">
      <c r="A32" s="106"/>
      <c r="B32" s="107"/>
      <c r="C32" s="108"/>
      <c r="D32" s="106"/>
      <c r="E32" s="107"/>
      <c r="F32" s="108"/>
      <c r="G32" s="106"/>
      <c r="H32" s="107"/>
      <c r="I32" s="108"/>
      <c r="J32" s="36"/>
    </row>
    <row r="33" spans="1:10" ht="14.25" customHeight="1">
      <c r="A33" s="106"/>
      <c r="B33" s="107"/>
      <c r="C33" s="108"/>
      <c r="D33" s="106"/>
      <c r="E33" s="107"/>
      <c r="F33" s="108"/>
      <c r="G33" s="106"/>
      <c r="H33" s="107"/>
      <c r="I33" s="108"/>
      <c r="J33" s="36"/>
    </row>
    <row r="34" spans="1:10" ht="14.25" customHeight="1">
      <c r="A34" s="106"/>
      <c r="B34" s="107"/>
      <c r="C34" s="108"/>
      <c r="D34" s="106"/>
      <c r="E34" s="107"/>
      <c r="F34" s="108"/>
      <c r="G34" s="106"/>
      <c r="H34" s="107"/>
      <c r="I34" s="108"/>
      <c r="J34" s="36"/>
    </row>
    <row r="35" spans="1:10" ht="14.25" customHeight="1">
      <c r="A35" s="109" t="s">
        <v>1360</v>
      </c>
      <c r="B35" s="110"/>
      <c r="C35" s="111"/>
      <c r="D35" s="109" t="s">
        <v>1360</v>
      </c>
      <c r="E35" s="110"/>
      <c r="F35" s="111"/>
      <c r="G35" s="109" t="s">
        <v>1360</v>
      </c>
      <c r="H35" s="110"/>
      <c r="I35" s="111"/>
      <c r="J35" s="36"/>
    </row>
    <row r="36" spans="1:9" ht="11.25" customHeight="1">
      <c r="A36" s="63" t="s">
        <v>377</v>
      </c>
      <c r="B36" s="65"/>
      <c r="C36" s="65"/>
      <c r="D36" s="65"/>
      <c r="E36" s="65"/>
      <c r="F36" s="65"/>
      <c r="G36" s="65"/>
      <c r="H36" s="65"/>
      <c r="I36" s="65"/>
    </row>
    <row r="37" spans="1:9" ht="12.75">
      <c r="A37" s="86"/>
      <c r="B37" s="78"/>
      <c r="C37" s="78"/>
      <c r="D37" s="78"/>
      <c r="E37" s="78"/>
      <c r="F37" s="78"/>
      <c r="G37" s="78"/>
      <c r="H37" s="78"/>
      <c r="I37" s="78"/>
    </row>
  </sheetData>
  <sheetProtection/>
  <mergeCells count="83">
    <mergeCell ref="A37:I37"/>
    <mergeCell ref="A34:C34"/>
    <mergeCell ref="D34:F34"/>
    <mergeCell ref="G34:I34"/>
    <mergeCell ref="A35:C35"/>
    <mergeCell ref="D35:F35"/>
    <mergeCell ref="G35:I35"/>
    <mergeCell ref="A32:C32"/>
    <mergeCell ref="D32:F32"/>
    <mergeCell ref="G32:I32"/>
    <mergeCell ref="A33:C33"/>
    <mergeCell ref="D33:F33"/>
    <mergeCell ref="G33:I33"/>
    <mergeCell ref="A29:B29"/>
    <mergeCell ref="D29:E29"/>
    <mergeCell ref="G29:H29"/>
    <mergeCell ref="A31:C31"/>
    <mergeCell ref="D31:F31"/>
    <mergeCell ref="G31:I31"/>
    <mergeCell ref="D23:E23"/>
    <mergeCell ref="G23:H23"/>
    <mergeCell ref="G24:H24"/>
    <mergeCell ref="G25:H25"/>
    <mergeCell ref="A27:B27"/>
    <mergeCell ref="A28:B28"/>
    <mergeCell ref="D28:E28"/>
    <mergeCell ref="G28:H28"/>
    <mergeCell ref="A21:B21"/>
    <mergeCell ref="D21:E21"/>
    <mergeCell ref="G21:H21"/>
    <mergeCell ref="A22:B22"/>
    <mergeCell ref="D22:E22"/>
    <mergeCell ref="G22:H22"/>
    <mergeCell ref="D18:E18"/>
    <mergeCell ref="G18:H18"/>
    <mergeCell ref="D19:E19"/>
    <mergeCell ref="G19:H19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A12:I12"/>
    <mergeCell ref="B13:C13"/>
    <mergeCell ref="E13:F13"/>
    <mergeCell ref="H13:I13"/>
    <mergeCell ref="D14:E14"/>
    <mergeCell ref="G14:H14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I8:I9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I4:I5"/>
    <mergeCell ref="C1:I1"/>
    <mergeCell ref="A2:B3"/>
    <mergeCell ref="C2:D3"/>
    <mergeCell ref="E2:E3"/>
    <mergeCell ref="F2:G3"/>
    <mergeCell ref="H2:H3"/>
    <mergeCell ref="I2:I3"/>
  </mergeCells>
  <printOptions/>
  <pageMargins left="0.394" right="0.394" top="0.591" bottom="0.591" header="0.5" footer="0.5"/>
  <pageSetup fitToHeight="1" fitToWidth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pane ySplit="10" topLeftCell="A35" activePane="bottomLeft" state="frozen"/>
      <selection pane="topLeft" activeCell="A1" sqref="A1"/>
      <selection pane="bottomLeft" activeCell="E8" sqref="E8:G9"/>
    </sheetView>
  </sheetViews>
  <sheetFormatPr defaultColWidth="11.57421875" defaultRowHeight="12.75"/>
  <cols>
    <col min="1" max="2" width="16.57421875" style="0" customWidth="1"/>
    <col min="3" max="3" width="41.7109375" style="0" customWidth="1"/>
    <col min="4" max="4" width="22.140625" style="0" hidden="1" customWidth="1"/>
    <col min="5" max="5" width="21.00390625" style="0" hidden="1" customWidth="1"/>
    <col min="6" max="6" width="20.8515625" style="0" customWidth="1"/>
    <col min="7" max="7" width="19.7109375" style="0" hidden="1" customWidth="1"/>
    <col min="8" max="9" width="0" style="0" hidden="1" customWidth="1"/>
  </cols>
  <sheetData>
    <row r="1" spans="1:7" ht="72.75" customHeight="1">
      <c r="A1" s="112" t="s">
        <v>1238</v>
      </c>
      <c r="B1" s="113"/>
      <c r="C1" s="113"/>
      <c r="D1" s="113"/>
      <c r="E1" s="113"/>
      <c r="F1" s="113"/>
      <c r="G1" s="113"/>
    </row>
    <row r="2" spans="1:8" ht="12.75">
      <c r="A2" s="75" t="s">
        <v>1</v>
      </c>
      <c r="B2" s="79" t="str">
        <f>'Stavební rozpočet'!D2</f>
        <v>Obslužný objekt koupaliště, novostavba Zákupy</v>
      </c>
      <c r="C2" s="80"/>
      <c r="D2" s="82" t="s">
        <v>1168</v>
      </c>
      <c r="E2" s="82" t="str">
        <f>'Stavební rozpočet'!J2</f>
        <v> </v>
      </c>
      <c r="F2" s="76"/>
      <c r="G2" s="114"/>
      <c r="H2" s="1"/>
    </row>
    <row r="3" spans="1:8" ht="12.75">
      <c r="A3" s="77"/>
      <c r="B3" s="81"/>
      <c r="C3" s="81"/>
      <c r="D3" s="78"/>
      <c r="E3" s="78"/>
      <c r="F3" s="78"/>
      <c r="G3" s="84"/>
      <c r="H3" s="1"/>
    </row>
    <row r="4" spans="1:8" ht="12.75">
      <c r="A4" s="85" t="s">
        <v>2</v>
      </c>
      <c r="B4" s="86" t="str">
        <f>'Stavební rozpočet'!D4</f>
        <v> </v>
      </c>
      <c r="C4" s="78"/>
      <c r="D4" s="86" t="s">
        <v>1169</v>
      </c>
      <c r="E4" s="86" t="str">
        <f>'Stavební rozpočet'!J4</f>
        <v> </v>
      </c>
      <c r="F4" s="78"/>
      <c r="G4" s="84"/>
      <c r="H4" s="1"/>
    </row>
    <row r="5" spans="1:8" ht="12.75">
      <c r="A5" s="77"/>
      <c r="B5" s="78"/>
      <c r="C5" s="78"/>
      <c r="D5" s="78"/>
      <c r="E5" s="78"/>
      <c r="F5" s="78"/>
      <c r="G5" s="84"/>
      <c r="H5" s="1"/>
    </row>
    <row r="6" spans="1:8" ht="12.75">
      <c r="A6" s="85" t="s">
        <v>3</v>
      </c>
      <c r="B6" s="86" t="str">
        <f>'Stavební rozpočet'!D6</f>
        <v> </v>
      </c>
      <c r="C6" s="78"/>
      <c r="D6" s="86" t="s">
        <v>1170</v>
      </c>
      <c r="E6" s="86" t="str">
        <f>'Stavební rozpočet'!J6</f>
        <v> </v>
      </c>
      <c r="F6" s="78"/>
      <c r="G6" s="84"/>
      <c r="H6" s="1"/>
    </row>
    <row r="7" spans="1:8" ht="12.75">
      <c r="A7" s="77"/>
      <c r="B7" s="78"/>
      <c r="C7" s="78"/>
      <c r="D7" s="78"/>
      <c r="E7" s="78"/>
      <c r="F7" s="78"/>
      <c r="G7" s="84"/>
      <c r="H7" s="1"/>
    </row>
    <row r="8" spans="1:8" ht="12.75">
      <c r="A8" s="85" t="s">
        <v>1171</v>
      </c>
      <c r="B8" s="86" t="str">
        <f>'Stavební rozpočet'!J8</f>
        <v> </v>
      </c>
      <c r="C8" s="78"/>
      <c r="D8" s="88" t="s">
        <v>1148</v>
      </c>
      <c r="E8" s="86"/>
      <c r="F8" s="78"/>
      <c r="G8" s="84"/>
      <c r="H8" s="1"/>
    </row>
    <row r="9" spans="1:8" ht="12.75">
      <c r="A9" s="115"/>
      <c r="B9" s="116"/>
      <c r="C9" s="116"/>
      <c r="D9" s="116"/>
      <c r="E9" s="116"/>
      <c r="F9" s="116"/>
      <c r="G9" s="117"/>
      <c r="H9" s="1"/>
    </row>
    <row r="10" spans="1:8" ht="12.75">
      <c r="A10" s="48" t="s">
        <v>378</v>
      </c>
      <c r="B10" s="50" t="s">
        <v>379</v>
      </c>
      <c r="C10" s="51" t="s">
        <v>1239</v>
      </c>
      <c r="D10" s="52" t="s">
        <v>1240</v>
      </c>
      <c r="E10" s="52" t="s">
        <v>1241</v>
      </c>
      <c r="F10" s="52" t="s">
        <v>1242</v>
      </c>
      <c r="G10" s="53" t="s">
        <v>1243</v>
      </c>
      <c r="H10" s="36"/>
    </row>
    <row r="11" spans="1:9" ht="12.75">
      <c r="A11" s="49"/>
      <c r="B11" s="49" t="s">
        <v>19</v>
      </c>
      <c r="C11" s="49" t="s">
        <v>741</v>
      </c>
      <c r="D11" s="54">
        <f>'Stavební rozpočet'!H12</f>
        <v>0</v>
      </c>
      <c r="E11" s="54">
        <f>'Stavební rozpočet'!I12</f>
        <v>0</v>
      </c>
      <c r="F11" s="54">
        <f aca="true" t="shared" si="0" ref="F11:F45">D11+E11</f>
        <v>0</v>
      </c>
      <c r="G11" s="54">
        <f>'Stavební rozpočet'!L12</f>
        <v>0</v>
      </c>
      <c r="H11" s="37" t="s">
        <v>1244</v>
      </c>
      <c r="I11" s="37">
        <f aca="true" t="shared" si="1" ref="I11:I45">IF(H11="F",0,F11)</f>
        <v>0</v>
      </c>
    </row>
    <row r="12" spans="1:9" ht="12.75">
      <c r="A12" s="17"/>
      <c r="B12" s="17" t="s">
        <v>22</v>
      </c>
      <c r="C12" s="17" t="s">
        <v>746</v>
      </c>
      <c r="D12" s="37">
        <f>'Stavební rozpočet'!H17</f>
        <v>0</v>
      </c>
      <c r="E12" s="37">
        <f>'Stavební rozpočet'!I17</f>
        <v>0</v>
      </c>
      <c r="F12" s="37">
        <f t="shared" si="0"/>
        <v>0</v>
      </c>
      <c r="G12" s="37">
        <f>'Stavební rozpočet'!L17</f>
        <v>0</v>
      </c>
      <c r="H12" s="37" t="s">
        <v>1244</v>
      </c>
      <c r="I12" s="37">
        <f t="shared" si="1"/>
        <v>0</v>
      </c>
    </row>
    <row r="13" spans="1:9" ht="12.75">
      <c r="A13" s="17"/>
      <c r="B13" s="17" t="s">
        <v>24</v>
      </c>
      <c r="C13" s="17" t="s">
        <v>748</v>
      </c>
      <c r="D13" s="37">
        <f>'Stavební rozpočet'!H19</f>
        <v>0</v>
      </c>
      <c r="E13" s="37">
        <f>'Stavební rozpočet'!I19</f>
        <v>0</v>
      </c>
      <c r="F13" s="37">
        <f t="shared" si="0"/>
        <v>0</v>
      </c>
      <c r="G13" s="37">
        <f>'Stavební rozpočet'!L19</f>
        <v>0</v>
      </c>
      <c r="H13" s="37" t="s">
        <v>1244</v>
      </c>
      <c r="I13" s="37">
        <f t="shared" si="1"/>
        <v>0</v>
      </c>
    </row>
    <row r="14" spans="1:9" ht="12.75">
      <c r="A14" s="17"/>
      <c r="B14" s="17" t="s">
        <v>33</v>
      </c>
      <c r="C14" s="17" t="s">
        <v>751</v>
      </c>
      <c r="D14" s="37">
        <f>'Stavební rozpočet'!H22</f>
        <v>0</v>
      </c>
      <c r="E14" s="37">
        <f>'Stavební rozpočet'!I22</f>
        <v>0</v>
      </c>
      <c r="F14" s="37">
        <f t="shared" si="0"/>
        <v>0</v>
      </c>
      <c r="G14" s="37">
        <f>'Stavební rozpočet'!L22</f>
        <v>75.08490157359999</v>
      </c>
      <c r="H14" s="37" t="s">
        <v>1244</v>
      </c>
      <c r="I14" s="37">
        <f t="shared" si="1"/>
        <v>0</v>
      </c>
    </row>
    <row r="15" spans="1:9" ht="12.75">
      <c r="A15" s="17"/>
      <c r="B15" s="17" t="s">
        <v>37</v>
      </c>
      <c r="C15" s="17" t="s">
        <v>759</v>
      </c>
      <c r="D15" s="37">
        <f>'Stavební rozpočet'!H30</f>
        <v>0</v>
      </c>
      <c r="E15" s="37">
        <f>'Stavební rozpočet'!I30</f>
        <v>0</v>
      </c>
      <c r="F15" s="37">
        <f t="shared" si="0"/>
        <v>0</v>
      </c>
      <c r="G15" s="37">
        <f>'Stavební rozpočet'!L30</f>
        <v>10.922361960400002</v>
      </c>
      <c r="H15" s="37" t="s">
        <v>1244</v>
      </c>
      <c r="I15" s="37">
        <f t="shared" si="1"/>
        <v>0</v>
      </c>
    </row>
    <row r="16" spans="1:9" ht="12.75">
      <c r="A16" s="17"/>
      <c r="B16" s="17" t="s">
        <v>40</v>
      </c>
      <c r="C16" s="17" t="s">
        <v>768</v>
      </c>
      <c r="D16" s="37">
        <f>'Stavební rozpočet'!H40</f>
        <v>0</v>
      </c>
      <c r="E16" s="37">
        <f>'Stavební rozpočet'!I40</f>
        <v>0</v>
      </c>
      <c r="F16" s="37">
        <f t="shared" si="0"/>
        <v>0</v>
      </c>
      <c r="G16" s="37">
        <f>'Stavební rozpočet'!L40</f>
        <v>4.808529642</v>
      </c>
      <c r="H16" s="37" t="s">
        <v>1244</v>
      </c>
      <c r="I16" s="37">
        <f t="shared" si="1"/>
        <v>0</v>
      </c>
    </row>
    <row r="17" spans="1:9" ht="12.75">
      <c r="A17" s="17"/>
      <c r="B17" s="17" t="s">
        <v>47</v>
      </c>
      <c r="C17" s="17" t="s">
        <v>772</v>
      </c>
      <c r="D17" s="37">
        <f>'Stavební rozpočet'!H44</f>
        <v>0</v>
      </c>
      <c r="E17" s="37">
        <f>'Stavební rozpočet'!I44</f>
        <v>0</v>
      </c>
      <c r="F17" s="37">
        <f t="shared" si="0"/>
        <v>0</v>
      </c>
      <c r="G17" s="37">
        <f>'Stavební rozpočet'!L44</f>
        <v>5.650542124000001</v>
      </c>
      <c r="H17" s="37" t="s">
        <v>1244</v>
      </c>
      <c r="I17" s="37">
        <f t="shared" si="1"/>
        <v>0</v>
      </c>
    </row>
    <row r="18" spans="1:9" ht="12.75">
      <c r="A18" s="17"/>
      <c r="B18" s="17" t="s">
        <v>49</v>
      </c>
      <c r="C18" s="17" t="s">
        <v>779</v>
      </c>
      <c r="D18" s="37">
        <f>'Stavební rozpočet'!H51</f>
        <v>0</v>
      </c>
      <c r="E18" s="37">
        <f>'Stavební rozpočet'!I51</f>
        <v>0</v>
      </c>
      <c r="F18" s="37">
        <f t="shared" si="0"/>
        <v>0</v>
      </c>
      <c r="G18" s="37">
        <f>'Stavební rozpočet'!L51</f>
        <v>4.7838276</v>
      </c>
      <c r="H18" s="37" t="s">
        <v>1244</v>
      </c>
      <c r="I18" s="37">
        <f t="shared" si="1"/>
        <v>0</v>
      </c>
    </row>
    <row r="19" spans="1:9" ht="12.75">
      <c r="A19" s="17"/>
      <c r="B19" s="17" t="s">
        <v>52</v>
      </c>
      <c r="C19" s="17" t="s">
        <v>783</v>
      </c>
      <c r="D19" s="37">
        <f>'Stavební rozpočet'!H55</f>
        <v>0</v>
      </c>
      <c r="E19" s="37">
        <f>'Stavební rozpočet'!I55</f>
        <v>0</v>
      </c>
      <c r="F19" s="37">
        <f t="shared" si="0"/>
        <v>0</v>
      </c>
      <c r="G19" s="37">
        <f>'Stavební rozpočet'!L55</f>
        <v>11.58427984</v>
      </c>
      <c r="H19" s="37" t="s">
        <v>1244</v>
      </c>
      <c r="I19" s="37">
        <f t="shared" si="1"/>
        <v>0</v>
      </c>
    </row>
    <row r="20" spans="1:9" ht="12.75">
      <c r="A20" s="17"/>
      <c r="B20" s="17" t="s">
        <v>66</v>
      </c>
      <c r="C20" s="17" t="s">
        <v>785</v>
      </c>
      <c r="D20" s="37">
        <f>'Stavební rozpočet'!H57</f>
        <v>0</v>
      </c>
      <c r="E20" s="37">
        <f>'Stavební rozpočet'!I57</f>
        <v>0</v>
      </c>
      <c r="F20" s="37">
        <f t="shared" si="0"/>
        <v>0</v>
      </c>
      <c r="G20" s="37">
        <f>'Stavební rozpočet'!L57</f>
        <v>0.27303024000000004</v>
      </c>
      <c r="H20" s="37" t="s">
        <v>1244</v>
      </c>
      <c r="I20" s="37">
        <f t="shared" si="1"/>
        <v>0</v>
      </c>
    </row>
    <row r="21" spans="1:9" ht="12.75">
      <c r="A21" s="17"/>
      <c r="B21" s="17" t="s">
        <v>67</v>
      </c>
      <c r="C21" s="17" t="s">
        <v>788</v>
      </c>
      <c r="D21" s="37">
        <f>'Stavební rozpočet'!H60</f>
        <v>0</v>
      </c>
      <c r="E21" s="37">
        <f>'Stavební rozpočet'!I60</f>
        <v>0</v>
      </c>
      <c r="F21" s="37">
        <f t="shared" si="0"/>
        <v>0</v>
      </c>
      <c r="G21" s="37">
        <f>'Stavební rozpočet'!L60</f>
        <v>0.229296</v>
      </c>
      <c r="H21" s="37" t="s">
        <v>1244</v>
      </c>
      <c r="I21" s="37">
        <f t="shared" si="1"/>
        <v>0</v>
      </c>
    </row>
    <row r="22" spans="1:9" ht="12.75">
      <c r="A22" s="17"/>
      <c r="B22" s="17" t="s">
        <v>68</v>
      </c>
      <c r="C22" s="17" t="s">
        <v>790</v>
      </c>
      <c r="D22" s="37">
        <f>'Stavební rozpočet'!H62</f>
        <v>0</v>
      </c>
      <c r="E22" s="37">
        <f>'Stavební rozpočet'!I62</f>
        <v>0</v>
      </c>
      <c r="F22" s="37">
        <f t="shared" si="0"/>
        <v>0</v>
      </c>
      <c r="G22" s="37">
        <f>'Stavební rozpočet'!L62</f>
        <v>5.402872912</v>
      </c>
      <c r="H22" s="37" t="s">
        <v>1244</v>
      </c>
      <c r="I22" s="37">
        <f t="shared" si="1"/>
        <v>0</v>
      </c>
    </row>
    <row r="23" spans="1:9" ht="12.75">
      <c r="A23" s="17"/>
      <c r="B23" s="17" t="s">
        <v>69</v>
      </c>
      <c r="C23" s="17" t="s">
        <v>797</v>
      </c>
      <c r="D23" s="37">
        <f>'Stavební rozpočet'!H69</f>
        <v>0</v>
      </c>
      <c r="E23" s="37">
        <f>'Stavební rozpočet'!I69</f>
        <v>0</v>
      </c>
      <c r="F23" s="37">
        <f t="shared" si="0"/>
        <v>0</v>
      </c>
      <c r="G23" s="37">
        <f>'Stavební rozpočet'!L69</f>
        <v>47.18034392</v>
      </c>
      <c r="H23" s="37" t="s">
        <v>1244</v>
      </c>
      <c r="I23" s="37">
        <f t="shared" si="1"/>
        <v>0</v>
      </c>
    </row>
    <row r="24" spans="1:9" ht="12.75">
      <c r="A24" s="17"/>
      <c r="B24" s="17" t="s">
        <v>97</v>
      </c>
      <c r="C24" s="17" t="s">
        <v>802</v>
      </c>
      <c r="D24" s="37">
        <f>'Stavební rozpočet'!H74</f>
        <v>0</v>
      </c>
      <c r="E24" s="37">
        <f>'Stavební rozpočet'!I74</f>
        <v>0</v>
      </c>
      <c r="F24" s="37">
        <f t="shared" si="0"/>
        <v>0</v>
      </c>
      <c r="G24" s="37">
        <f>'Stavební rozpočet'!L74</f>
        <v>0</v>
      </c>
      <c r="H24" s="37" t="s">
        <v>1244</v>
      </c>
      <c r="I24" s="37">
        <f t="shared" si="1"/>
        <v>0</v>
      </c>
    </row>
    <row r="25" spans="1:9" ht="12.75">
      <c r="A25" s="17"/>
      <c r="B25" s="17" t="s">
        <v>100</v>
      </c>
      <c r="C25" s="17" t="s">
        <v>804</v>
      </c>
      <c r="D25" s="37">
        <f>'Stavební rozpočet'!H76</f>
        <v>0</v>
      </c>
      <c r="E25" s="37">
        <f>'Stavební rozpočet'!I76</f>
        <v>0</v>
      </c>
      <c r="F25" s="37">
        <f t="shared" si="0"/>
        <v>0</v>
      </c>
      <c r="G25" s="37">
        <f>'Stavební rozpočet'!L76</f>
        <v>0.2381</v>
      </c>
      <c r="H25" s="37" t="s">
        <v>1244</v>
      </c>
      <c r="I25" s="37">
        <f t="shared" si="1"/>
        <v>0</v>
      </c>
    </row>
    <row r="26" spans="1:9" ht="12.75">
      <c r="A26" s="17"/>
      <c r="B26" s="17" t="s">
        <v>101</v>
      </c>
      <c r="C26" s="17" t="s">
        <v>807</v>
      </c>
      <c r="D26" s="37">
        <f>'Stavební rozpočet'!H79</f>
        <v>0</v>
      </c>
      <c r="E26" s="37">
        <f>'Stavební rozpočet'!I79</f>
        <v>0</v>
      </c>
      <c r="F26" s="37">
        <f t="shared" si="0"/>
        <v>0</v>
      </c>
      <c r="G26" s="37">
        <f>'Stavební rozpočet'!L79</f>
        <v>0.007865790000000001</v>
      </c>
      <c r="H26" s="37" t="s">
        <v>1244</v>
      </c>
      <c r="I26" s="37">
        <f t="shared" si="1"/>
        <v>0</v>
      </c>
    </row>
    <row r="27" spans="1:9" ht="12.75">
      <c r="A27" s="17"/>
      <c r="B27" s="17" t="s">
        <v>102</v>
      </c>
      <c r="C27" s="17" t="s">
        <v>812</v>
      </c>
      <c r="D27" s="37">
        <f>'Stavební rozpočet'!H84</f>
        <v>0</v>
      </c>
      <c r="E27" s="37">
        <f>'Stavební rozpočet'!I84</f>
        <v>0</v>
      </c>
      <c r="F27" s="37">
        <f t="shared" si="0"/>
        <v>0</v>
      </c>
      <c r="G27" s="37">
        <f>'Stavební rozpočet'!L84</f>
        <v>4.23456</v>
      </c>
      <c r="H27" s="37" t="s">
        <v>1244</v>
      </c>
      <c r="I27" s="37">
        <f t="shared" si="1"/>
        <v>0</v>
      </c>
    </row>
    <row r="28" spans="1:9" ht="12.75">
      <c r="A28" s="17"/>
      <c r="B28" s="17" t="s">
        <v>425</v>
      </c>
      <c r="C28" s="17" t="s">
        <v>815</v>
      </c>
      <c r="D28" s="37">
        <f>'Stavební rozpočet'!H87</f>
        <v>0</v>
      </c>
      <c r="E28" s="37">
        <f>'Stavební rozpočet'!I87</f>
        <v>0</v>
      </c>
      <c r="F28" s="37">
        <f t="shared" si="0"/>
        <v>0</v>
      </c>
      <c r="G28" s="37">
        <f>'Stavební rozpočet'!L87</f>
        <v>0</v>
      </c>
      <c r="H28" s="37" t="s">
        <v>1244</v>
      </c>
      <c r="I28" s="37">
        <f t="shared" si="1"/>
        <v>0</v>
      </c>
    </row>
    <row r="29" spans="1:9" ht="12.75">
      <c r="A29" s="17"/>
      <c r="B29" s="17" t="s">
        <v>433</v>
      </c>
      <c r="C29" s="17" t="s">
        <v>823</v>
      </c>
      <c r="D29" s="37">
        <f>'Stavební rozpočet'!H95</f>
        <v>0</v>
      </c>
      <c r="E29" s="37">
        <f>'Stavební rozpočet'!I95</f>
        <v>0</v>
      </c>
      <c r="F29" s="37">
        <f t="shared" si="0"/>
        <v>0</v>
      </c>
      <c r="G29" s="37">
        <f>'Stavební rozpočet'!L95</f>
        <v>0</v>
      </c>
      <c r="H29" s="37" t="s">
        <v>1244</v>
      </c>
      <c r="I29" s="37">
        <f t="shared" si="1"/>
        <v>0</v>
      </c>
    </row>
    <row r="30" spans="1:9" ht="12.75">
      <c r="A30" s="17"/>
      <c r="B30" s="17" t="s">
        <v>435</v>
      </c>
      <c r="C30" s="17" t="s">
        <v>825</v>
      </c>
      <c r="D30" s="37">
        <f>'Stavební rozpočet'!H97</f>
        <v>0</v>
      </c>
      <c r="E30" s="37">
        <f>'Stavební rozpočet'!I97</f>
        <v>0</v>
      </c>
      <c r="F30" s="37">
        <f t="shared" si="0"/>
        <v>0</v>
      </c>
      <c r="G30" s="37">
        <f>'Stavební rozpočet'!L97</f>
        <v>0.4953300720000001</v>
      </c>
      <c r="H30" s="37" t="s">
        <v>1244</v>
      </c>
      <c r="I30" s="37">
        <f t="shared" si="1"/>
        <v>0</v>
      </c>
    </row>
    <row r="31" spans="1:9" ht="12.75">
      <c r="A31" s="17"/>
      <c r="B31" s="17" t="s">
        <v>447</v>
      </c>
      <c r="C31" s="17" t="s">
        <v>839</v>
      </c>
      <c r="D31" s="37">
        <f>'Stavební rozpočet'!H116</f>
        <v>0</v>
      </c>
      <c r="E31" s="37">
        <f>'Stavební rozpočet'!I116</f>
        <v>0</v>
      </c>
      <c r="F31" s="37">
        <f t="shared" si="0"/>
        <v>0</v>
      </c>
      <c r="G31" s="37">
        <f>'Stavební rozpočet'!L116</f>
        <v>0.38930015399999995</v>
      </c>
      <c r="H31" s="37" t="s">
        <v>1244</v>
      </c>
      <c r="I31" s="37">
        <f t="shared" si="1"/>
        <v>0</v>
      </c>
    </row>
    <row r="32" spans="1:9" ht="12.75">
      <c r="A32" s="17"/>
      <c r="B32" s="17" t="s">
        <v>453</v>
      </c>
      <c r="C32" s="17" t="s">
        <v>847</v>
      </c>
      <c r="D32" s="37">
        <f>'Stavební rozpočet'!H124</f>
        <v>0</v>
      </c>
      <c r="E32" s="37">
        <f>'Stavební rozpočet'!I124</f>
        <v>0</v>
      </c>
      <c r="F32" s="37">
        <f t="shared" si="0"/>
        <v>0</v>
      </c>
      <c r="G32" s="37">
        <f>'Stavební rozpočet'!L124</f>
        <v>0.284590743</v>
      </c>
      <c r="H32" s="37" t="s">
        <v>1244</v>
      </c>
      <c r="I32" s="37">
        <f t="shared" si="1"/>
        <v>0</v>
      </c>
    </row>
    <row r="33" spans="1:9" ht="12.75">
      <c r="A33" s="17"/>
      <c r="B33" s="17" t="s">
        <v>463</v>
      </c>
      <c r="C33" s="17" t="s">
        <v>861</v>
      </c>
      <c r="D33" s="37">
        <f>'Stavební rozpočet'!H138</f>
        <v>0</v>
      </c>
      <c r="E33" s="37">
        <f>'Stavební rozpočet'!I138</f>
        <v>0</v>
      </c>
      <c r="F33" s="37">
        <f t="shared" si="0"/>
        <v>0</v>
      </c>
      <c r="G33" s="37">
        <f>'Stavební rozpočet'!L138</f>
        <v>0</v>
      </c>
      <c r="H33" s="37" t="s">
        <v>1244</v>
      </c>
      <c r="I33" s="37">
        <f t="shared" si="1"/>
        <v>0</v>
      </c>
    </row>
    <row r="34" spans="1:9" ht="12.75">
      <c r="A34" s="17"/>
      <c r="B34" s="17" t="s">
        <v>506</v>
      </c>
      <c r="C34" s="17" t="s">
        <v>905</v>
      </c>
      <c r="D34" s="37">
        <f>'Stavební rozpočet'!H182</f>
        <v>0</v>
      </c>
      <c r="E34" s="37">
        <f>'Stavební rozpočet'!I182</f>
        <v>0</v>
      </c>
      <c r="F34" s="37">
        <f t="shared" si="0"/>
        <v>0</v>
      </c>
      <c r="G34" s="37">
        <f>'Stavební rozpočet'!L182</f>
        <v>0</v>
      </c>
      <c r="H34" s="37" t="s">
        <v>1244</v>
      </c>
      <c r="I34" s="37">
        <f t="shared" si="1"/>
        <v>0</v>
      </c>
    </row>
    <row r="35" spans="1:9" ht="12.75">
      <c r="A35" s="17"/>
      <c r="B35" s="17" t="s">
        <v>550</v>
      </c>
      <c r="C35" s="17" t="s">
        <v>946</v>
      </c>
      <c r="D35" s="37">
        <f>'Stavební rozpočet'!H232</f>
        <v>0</v>
      </c>
      <c r="E35" s="37">
        <f>'Stavební rozpočet'!I232</f>
        <v>0</v>
      </c>
      <c r="F35" s="37">
        <f t="shared" si="0"/>
        <v>0</v>
      </c>
      <c r="G35" s="37">
        <f>'Stavební rozpočet'!L232</f>
        <v>0</v>
      </c>
      <c r="H35" s="37" t="s">
        <v>1244</v>
      </c>
      <c r="I35" s="37">
        <f t="shared" si="1"/>
        <v>0</v>
      </c>
    </row>
    <row r="36" spans="1:9" ht="12.75">
      <c r="A36" s="17"/>
      <c r="B36" s="17" t="s">
        <v>631</v>
      </c>
      <c r="C36" s="17" t="s">
        <v>1022</v>
      </c>
      <c r="D36" s="37">
        <f>'Stavební rozpočet'!H313</f>
        <v>0</v>
      </c>
      <c r="E36" s="37">
        <f>'Stavební rozpočet'!I313</f>
        <v>0</v>
      </c>
      <c r="F36" s="37">
        <f t="shared" si="0"/>
        <v>0</v>
      </c>
      <c r="G36" s="37">
        <f>'Stavební rozpočet'!L313</f>
        <v>0</v>
      </c>
      <c r="H36" s="37" t="s">
        <v>1244</v>
      </c>
      <c r="I36" s="37">
        <f t="shared" si="1"/>
        <v>0</v>
      </c>
    </row>
    <row r="37" spans="1:9" ht="12.75">
      <c r="A37" s="17"/>
      <c r="B37" s="17" t="s">
        <v>656</v>
      </c>
      <c r="C37" s="17" t="s">
        <v>1049</v>
      </c>
      <c r="D37" s="37">
        <f>'Stavební rozpočet'!H356</f>
        <v>0</v>
      </c>
      <c r="E37" s="37">
        <f>'Stavební rozpočet'!I356</f>
        <v>0</v>
      </c>
      <c r="F37" s="37">
        <f t="shared" si="0"/>
        <v>0</v>
      </c>
      <c r="G37" s="37">
        <f>'Stavební rozpočet'!L356</f>
        <v>9.5308061448</v>
      </c>
      <c r="H37" s="37" t="s">
        <v>1244</v>
      </c>
      <c r="I37" s="37">
        <f t="shared" si="1"/>
        <v>0</v>
      </c>
    </row>
    <row r="38" spans="1:9" ht="12.75">
      <c r="A38" s="17"/>
      <c r="B38" s="17" t="s">
        <v>676</v>
      </c>
      <c r="C38" s="17" t="s">
        <v>1075</v>
      </c>
      <c r="D38" s="37">
        <f>'Stavební rozpočet'!H382</f>
        <v>0</v>
      </c>
      <c r="E38" s="37">
        <f>'Stavební rozpočet'!I382</f>
        <v>0</v>
      </c>
      <c r="F38" s="37">
        <f t="shared" si="0"/>
        <v>0</v>
      </c>
      <c r="G38" s="37">
        <f>'Stavební rozpočet'!L382</f>
        <v>0.377935</v>
      </c>
      <c r="H38" s="37" t="s">
        <v>1244</v>
      </c>
      <c r="I38" s="37">
        <f t="shared" si="1"/>
        <v>0</v>
      </c>
    </row>
    <row r="39" spans="1:9" ht="12.75">
      <c r="A39" s="17"/>
      <c r="B39" s="17" t="s">
        <v>683</v>
      </c>
      <c r="C39" s="17" t="s">
        <v>1084</v>
      </c>
      <c r="D39" s="37">
        <f>'Stavební rozpočet'!H391</f>
        <v>0</v>
      </c>
      <c r="E39" s="37">
        <f>'Stavební rozpočet'!I391</f>
        <v>0</v>
      </c>
      <c r="F39" s="37">
        <f t="shared" si="0"/>
        <v>0</v>
      </c>
      <c r="G39" s="37">
        <f>'Stavební rozpočet'!L391</f>
        <v>1.687</v>
      </c>
      <c r="H39" s="37" t="s">
        <v>1244</v>
      </c>
      <c r="I39" s="37">
        <f t="shared" si="1"/>
        <v>0</v>
      </c>
    </row>
    <row r="40" spans="1:9" ht="12.75">
      <c r="A40" s="17"/>
      <c r="B40" s="17" t="s">
        <v>693</v>
      </c>
      <c r="C40" s="17" t="s">
        <v>1095</v>
      </c>
      <c r="D40" s="37">
        <f>'Stavební rozpočet'!H409</f>
        <v>0</v>
      </c>
      <c r="E40" s="37">
        <f>'Stavební rozpočet'!I409</f>
        <v>0</v>
      </c>
      <c r="F40" s="37">
        <f t="shared" si="0"/>
        <v>0</v>
      </c>
      <c r="G40" s="37">
        <f>'Stavební rozpočet'!L409</f>
        <v>1.3629999999999995</v>
      </c>
      <c r="H40" s="37" t="s">
        <v>1244</v>
      </c>
      <c r="I40" s="37">
        <f t="shared" si="1"/>
        <v>0</v>
      </c>
    </row>
    <row r="41" spans="1:9" ht="12.75">
      <c r="A41" s="17"/>
      <c r="B41" s="17" t="s">
        <v>704</v>
      </c>
      <c r="C41" s="17" t="s">
        <v>1107</v>
      </c>
      <c r="D41" s="37">
        <f>'Stavební rozpočet'!H422</f>
        <v>0</v>
      </c>
      <c r="E41" s="37">
        <f>'Stavební rozpočet'!I422</f>
        <v>0</v>
      </c>
      <c r="F41" s="37">
        <f t="shared" si="0"/>
        <v>0</v>
      </c>
      <c r="G41" s="37">
        <f>'Stavební rozpočet'!L422</f>
        <v>1.11155368</v>
      </c>
      <c r="H41" s="37" t="s">
        <v>1244</v>
      </c>
      <c r="I41" s="37">
        <f t="shared" si="1"/>
        <v>0</v>
      </c>
    </row>
    <row r="42" spans="1:9" ht="12.75">
      <c r="A42" s="17"/>
      <c r="B42" s="17" t="s">
        <v>714</v>
      </c>
      <c r="C42" s="17" t="s">
        <v>1118</v>
      </c>
      <c r="D42" s="37">
        <f>'Stavební rozpočet'!H435</f>
        <v>0</v>
      </c>
      <c r="E42" s="37">
        <f>'Stavební rozpočet'!I435</f>
        <v>0</v>
      </c>
      <c r="F42" s="37">
        <f t="shared" si="0"/>
        <v>0</v>
      </c>
      <c r="G42" s="37">
        <f>'Stavební rozpočet'!L435</f>
        <v>0.6568088900000001</v>
      </c>
      <c r="H42" s="37" t="s">
        <v>1244</v>
      </c>
      <c r="I42" s="37">
        <f t="shared" si="1"/>
        <v>0</v>
      </c>
    </row>
    <row r="43" spans="1:9" ht="12.75">
      <c r="A43" s="17"/>
      <c r="B43" s="17" t="s">
        <v>727</v>
      </c>
      <c r="C43" s="17" t="s">
        <v>1132</v>
      </c>
      <c r="D43" s="37">
        <f>'Stavební rozpočet'!H450</f>
        <v>0</v>
      </c>
      <c r="E43" s="37">
        <f>'Stavební rozpočet'!I450</f>
        <v>0</v>
      </c>
      <c r="F43" s="37">
        <f t="shared" si="0"/>
        <v>0</v>
      </c>
      <c r="G43" s="37">
        <f>'Stavební rozpočet'!L450</f>
        <v>0.27105095999999995</v>
      </c>
      <c r="H43" s="37" t="s">
        <v>1244</v>
      </c>
      <c r="I43" s="37">
        <f t="shared" si="1"/>
        <v>0</v>
      </c>
    </row>
    <row r="44" spans="1:9" ht="12.75">
      <c r="A44" s="17"/>
      <c r="B44" s="17" t="s">
        <v>730</v>
      </c>
      <c r="C44" s="17" t="s">
        <v>1135</v>
      </c>
      <c r="D44" s="37">
        <f>'Stavební rozpočet'!H453</f>
        <v>0</v>
      </c>
      <c r="E44" s="37">
        <f>'Stavební rozpočet'!I453</f>
        <v>0</v>
      </c>
      <c r="F44" s="37">
        <f t="shared" si="0"/>
        <v>0</v>
      </c>
      <c r="G44" s="37">
        <f>'Stavební rozpočet'!L453</f>
        <v>0.04926548</v>
      </c>
      <c r="H44" s="37" t="s">
        <v>1244</v>
      </c>
      <c r="I44" s="37">
        <f t="shared" si="1"/>
        <v>0</v>
      </c>
    </row>
    <row r="45" spans="1:9" ht="12.75">
      <c r="A45" s="17"/>
      <c r="B45" s="17" t="s">
        <v>735</v>
      </c>
      <c r="C45" s="17" t="s">
        <v>1141</v>
      </c>
      <c r="D45" s="37">
        <f>'Stavební rozpočet'!H460</f>
        <v>0</v>
      </c>
      <c r="E45" s="37">
        <f>'Stavební rozpočet'!I460</f>
        <v>0</v>
      </c>
      <c r="F45" s="37">
        <f t="shared" si="0"/>
        <v>0</v>
      </c>
      <c r="G45" s="37">
        <f>'Stavební rozpočet'!L460</f>
        <v>0</v>
      </c>
      <c r="H45" s="37" t="s">
        <v>1244</v>
      </c>
      <c r="I45" s="37">
        <f t="shared" si="1"/>
        <v>0</v>
      </c>
    </row>
    <row r="47" spans="5:6" ht="12.75">
      <c r="E47" s="44" t="s">
        <v>1167</v>
      </c>
      <c r="F47" s="45">
        <f>SUM(I11:I45)</f>
        <v>0</v>
      </c>
    </row>
  </sheetData>
  <sheetProtection/>
  <mergeCells count="17">
    <mergeCell ref="A6:A7"/>
    <mergeCell ref="B6:C7"/>
    <mergeCell ref="D6:D7"/>
    <mergeCell ref="E6:G7"/>
    <mergeCell ref="A8:A9"/>
    <mergeCell ref="B8:C9"/>
    <mergeCell ref="D8:D9"/>
    <mergeCell ref="E8:G9"/>
    <mergeCell ref="A1:G1"/>
    <mergeCell ref="A2:A3"/>
    <mergeCell ref="B2:C3"/>
    <mergeCell ref="D2:D3"/>
    <mergeCell ref="E2:G3"/>
    <mergeCell ref="A4:A5"/>
    <mergeCell ref="B4:C5"/>
    <mergeCell ref="D4:D5"/>
    <mergeCell ref="E4:G5"/>
  </mergeCells>
  <printOptions/>
  <pageMargins left="0.394" right="0.394" top="0.591" bottom="0.591" header="0.5" footer="0.5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466"/>
  <sheetViews>
    <sheetView zoomScalePageLayoutView="0" workbookViewId="0" topLeftCell="A1">
      <pane ySplit="11" topLeftCell="A22" activePane="bottomLeft" state="frozen"/>
      <selection pane="topLeft" activeCell="A1" sqref="A1"/>
      <selection pane="bottomLeft" activeCell="G8" sqref="G8:H9"/>
    </sheetView>
  </sheetViews>
  <sheetFormatPr defaultColWidth="11.57421875" defaultRowHeight="12.75"/>
  <cols>
    <col min="1" max="1" width="3.7109375" style="0" customWidth="1"/>
    <col min="2" max="2" width="6.8515625" style="0" customWidth="1"/>
    <col min="3" max="3" width="13.28125" style="0" customWidth="1"/>
    <col min="4" max="4" width="102.57421875" style="0" customWidth="1"/>
    <col min="5" max="5" width="7.421875" style="0" customWidth="1"/>
    <col min="6" max="6" width="12.8515625" style="0" customWidth="1"/>
    <col min="7" max="7" width="12.00390625" style="0" customWidth="1"/>
    <col min="8" max="9" width="14.28125" style="0" hidden="1" customWidth="1"/>
    <col min="10" max="10" width="14.28125" style="0" customWidth="1"/>
    <col min="11" max="12" width="11.7109375" style="0" hidden="1" customWidth="1"/>
    <col min="13" max="13" width="11.7109375" style="0" customWidth="1"/>
    <col min="14" max="14" width="0" style="0" hidden="1" customWidth="1"/>
    <col min="15" max="48" width="12.140625" style="0" hidden="1" customWidth="1"/>
  </cols>
  <sheetData>
    <row r="1" spans="1:13" ht="72.75" customHeight="1">
      <c r="A1" s="112" t="s">
        <v>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</row>
    <row r="2" spans="1:14" ht="12.75">
      <c r="A2" s="75" t="s">
        <v>1</v>
      </c>
      <c r="B2" s="76"/>
      <c r="C2" s="76"/>
      <c r="D2" s="79" t="s">
        <v>1393</v>
      </c>
      <c r="E2" s="118" t="s">
        <v>1145</v>
      </c>
      <c r="F2" s="76"/>
      <c r="G2" s="118" t="s">
        <v>6</v>
      </c>
      <c r="H2" s="76"/>
      <c r="I2" s="82" t="s">
        <v>1168</v>
      </c>
      <c r="J2" s="82" t="s">
        <v>6</v>
      </c>
      <c r="K2" s="76"/>
      <c r="L2" s="76"/>
      <c r="M2" s="114"/>
      <c r="N2" s="1"/>
    </row>
    <row r="3" spans="1:14" ht="12.75">
      <c r="A3" s="77"/>
      <c r="B3" s="78"/>
      <c r="C3" s="78"/>
      <c r="D3" s="81"/>
      <c r="E3" s="78"/>
      <c r="F3" s="78"/>
      <c r="G3" s="78"/>
      <c r="H3" s="78"/>
      <c r="I3" s="78"/>
      <c r="J3" s="78"/>
      <c r="K3" s="78"/>
      <c r="L3" s="78"/>
      <c r="M3" s="84"/>
      <c r="N3" s="1"/>
    </row>
    <row r="4" spans="1:14" ht="12.75">
      <c r="A4" s="85" t="s">
        <v>2</v>
      </c>
      <c r="B4" s="78"/>
      <c r="C4" s="78"/>
      <c r="D4" s="86" t="s">
        <v>6</v>
      </c>
      <c r="E4" s="88" t="s">
        <v>1146</v>
      </c>
      <c r="F4" s="78"/>
      <c r="G4" s="88"/>
      <c r="H4" s="78"/>
      <c r="I4" s="86" t="s">
        <v>1169</v>
      </c>
      <c r="J4" s="86" t="s">
        <v>6</v>
      </c>
      <c r="K4" s="78"/>
      <c r="L4" s="78"/>
      <c r="M4" s="84"/>
      <c r="N4" s="1"/>
    </row>
    <row r="5" spans="1:14" ht="12.75">
      <c r="A5" s="77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84"/>
      <c r="N5" s="1"/>
    </row>
    <row r="6" spans="1:14" ht="12.75">
      <c r="A6" s="85" t="s">
        <v>3</v>
      </c>
      <c r="B6" s="78"/>
      <c r="C6" s="78"/>
      <c r="D6" s="86" t="s">
        <v>6</v>
      </c>
      <c r="E6" s="88" t="s">
        <v>1147</v>
      </c>
      <c r="F6" s="78"/>
      <c r="G6" s="88" t="s">
        <v>6</v>
      </c>
      <c r="H6" s="78"/>
      <c r="I6" s="86" t="s">
        <v>1170</v>
      </c>
      <c r="J6" s="86" t="s">
        <v>6</v>
      </c>
      <c r="K6" s="78"/>
      <c r="L6" s="78"/>
      <c r="M6" s="84"/>
      <c r="N6" s="1"/>
    </row>
    <row r="7" spans="1:14" ht="12.75">
      <c r="A7" s="77"/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84"/>
      <c r="N7" s="1"/>
    </row>
    <row r="8" spans="1:14" ht="12.75">
      <c r="A8" s="85" t="s">
        <v>4</v>
      </c>
      <c r="B8" s="78"/>
      <c r="C8" s="78"/>
      <c r="D8" s="86" t="s">
        <v>6</v>
      </c>
      <c r="E8" s="88" t="s">
        <v>1148</v>
      </c>
      <c r="F8" s="78"/>
      <c r="G8" s="88"/>
      <c r="H8" s="78"/>
      <c r="I8" s="86" t="s">
        <v>1171</v>
      </c>
      <c r="J8" s="86" t="s">
        <v>6</v>
      </c>
      <c r="K8" s="78"/>
      <c r="L8" s="78"/>
      <c r="M8" s="84"/>
      <c r="N8" s="1"/>
    </row>
    <row r="9" spans="1:14" ht="12.75">
      <c r="A9" s="115"/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7"/>
      <c r="N9" s="1"/>
    </row>
    <row r="10" spans="1:14" ht="12.75">
      <c r="A10" s="2" t="s">
        <v>5</v>
      </c>
      <c r="B10" s="11" t="s">
        <v>378</v>
      </c>
      <c r="C10" s="11" t="s">
        <v>379</v>
      </c>
      <c r="D10" s="11" t="s">
        <v>739</v>
      </c>
      <c r="E10" s="11" t="s">
        <v>1149</v>
      </c>
      <c r="F10" s="18" t="s">
        <v>1162</v>
      </c>
      <c r="G10" s="22" t="s">
        <v>1163</v>
      </c>
      <c r="H10" s="119" t="s">
        <v>1165</v>
      </c>
      <c r="I10" s="120"/>
      <c r="J10" s="121"/>
      <c r="K10" s="119" t="s">
        <v>1174</v>
      </c>
      <c r="L10" s="121"/>
      <c r="M10" s="31" t="s">
        <v>1175</v>
      </c>
      <c r="N10" s="36"/>
    </row>
    <row r="11" spans="1:24" ht="12.75">
      <c r="A11" s="3" t="s">
        <v>6</v>
      </c>
      <c r="B11" s="12" t="s">
        <v>6</v>
      </c>
      <c r="C11" s="12" t="s">
        <v>6</v>
      </c>
      <c r="D11" s="15" t="s">
        <v>740</v>
      </c>
      <c r="E11" s="12" t="s">
        <v>6</v>
      </c>
      <c r="F11" s="12" t="s">
        <v>6</v>
      </c>
      <c r="G11" s="23" t="s">
        <v>1164</v>
      </c>
      <c r="H11" s="24" t="s">
        <v>1166</v>
      </c>
      <c r="I11" s="25" t="s">
        <v>1172</v>
      </c>
      <c r="J11" s="26" t="s">
        <v>1173</v>
      </c>
      <c r="K11" s="24" t="s">
        <v>1163</v>
      </c>
      <c r="L11" s="26" t="s">
        <v>1173</v>
      </c>
      <c r="M11" s="32" t="s">
        <v>1176</v>
      </c>
      <c r="N11" s="36"/>
      <c r="P11" s="28" t="s">
        <v>1178</v>
      </c>
      <c r="Q11" s="28" t="s">
        <v>1179</v>
      </c>
      <c r="R11" s="28" t="s">
        <v>1180</v>
      </c>
      <c r="S11" s="28" t="s">
        <v>1181</v>
      </c>
      <c r="T11" s="28" t="s">
        <v>1182</v>
      </c>
      <c r="U11" s="28" t="s">
        <v>1183</v>
      </c>
      <c r="V11" s="28" t="s">
        <v>1184</v>
      </c>
      <c r="W11" s="28" t="s">
        <v>1185</v>
      </c>
      <c r="X11" s="28" t="s">
        <v>1186</v>
      </c>
    </row>
    <row r="12" spans="1:37" ht="12.75">
      <c r="A12" s="4"/>
      <c r="B12" s="13"/>
      <c r="C12" s="13" t="s">
        <v>19</v>
      </c>
      <c r="D12" s="13" t="s">
        <v>741</v>
      </c>
      <c r="E12" s="4" t="s">
        <v>6</v>
      </c>
      <c r="F12" s="4" t="s">
        <v>6</v>
      </c>
      <c r="G12" s="4" t="s">
        <v>6</v>
      </c>
      <c r="H12" s="39">
        <f>SUM(H13:H16)</f>
        <v>0</v>
      </c>
      <c r="I12" s="39">
        <f>SUM(I13:I16)</f>
        <v>0</v>
      </c>
      <c r="J12" s="39">
        <f>H12+I12</f>
        <v>0</v>
      </c>
      <c r="K12" s="27"/>
      <c r="L12" s="39">
        <f>SUM(L13:L16)</f>
        <v>0</v>
      </c>
      <c r="M12" s="27"/>
      <c r="Y12" s="28"/>
      <c r="AI12" s="40">
        <f>SUM(Z13:Z16)</f>
        <v>0</v>
      </c>
      <c r="AJ12" s="40">
        <f>SUM(AA13:AA16)</f>
        <v>0</v>
      </c>
      <c r="AK12" s="40">
        <f>SUM(AB13:AB16)</f>
        <v>0</v>
      </c>
    </row>
    <row r="13" spans="1:48" ht="12.75">
      <c r="A13" s="5" t="s">
        <v>7</v>
      </c>
      <c r="B13" s="5"/>
      <c r="C13" s="5" t="s">
        <v>380</v>
      </c>
      <c r="D13" s="5" t="s">
        <v>742</v>
      </c>
      <c r="E13" s="5" t="s">
        <v>1150</v>
      </c>
      <c r="F13" s="19">
        <v>9.114</v>
      </c>
      <c r="G13" s="19">
        <v>0</v>
      </c>
      <c r="H13" s="19">
        <f>F13*AE13</f>
        <v>0</v>
      </c>
      <c r="I13" s="19">
        <f>J13-H13</f>
        <v>0</v>
      </c>
      <c r="J13" s="19">
        <f>F13*G13</f>
        <v>0</v>
      </c>
      <c r="K13" s="19">
        <v>0</v>
      </c>
      <c r="L13" s="19">
        <f>F13*K13</f>
        <v>0</v>
      </c>
      <c r="M13" s="33" t="s">
        <v>1177</v>
      </c>
      <c r="P13" s="37">
        <f>IF(AG13="5",J13,0)</f>
        <v>0</v>
      </c>
      <c r="R13" s="37">
        <f>IF(AG13="1",H13,0)</f>
        <v>0</v>
      </c>
      <c r="S13" s="37">
        <f>IF(AG13="1",I13,0)</f>
        <v>0</v>
      </c>
      <c r="T13" s="37">
        <f>IF(AG13="7",H13,0)</f>
        <v>0</v>
      </c>
      <c r="U13" s="37">
        <f>IF(AG13="7",I13,0)</f>
        <v>0</v>
      </c>
      <c r="V13" s="37">
        <f>IF(AG13="2",H13,0)</f>
        <v>0</v>
      </c>
      <c r="W13" s="37">
        <f>IF(AG13="2",I13,0)</f>
        <v>0</v>
      </c>
      <c r="X13" s="37">
        <f>IF(AG13="0",J13,0)</f>
        <v>0</v>
      </c>
      <c r="Y13" s="28"/>
      <c r="Z13" s="19">
        <f>IF(AD13=0,J13,0)</f>
        <v>0</v>
      </c>
      <c r="AA13" s="19">
        <f>IF(AD13=15,J13,0)</f>
        <v>0</v>
      </c>
      <c r="AB13" s="19">
        <f>IF(AD13=21,J13,0)</f>
        <v>0</v>
      </c>
      <c r="AD13" s="37">
        <v>21</v>
      </c>
      <c r="AE13" s="37">
        <f>G13*0</f>
        <v>0</v>
      </c>
      <c r="AF13" s="37">
        <f>G13*(1-0)</f>
        <v>0</v>
      </c>
      <c r="AG13" s="33" t="s">
        <v>7</v>
      </c>
      <c r="AM13" s="37">
        <f>F13*AE13</f>
        <v>0</v>
      </c>
      <c r="AN13" s="37">
        <f>F13*AF13</f>
        <v>0</v>
      </c>
      <c r="AO13" s="38" t="s">
        <v>1187</v>
      </c>
      <c r="AP13" s="38" t="s">
        <v>1222</v>
      </c>
      <c r="AQ13" s="28" t="s">
        <v>1234</v>
      </c>
      <c r="AS13" s="37">
        <f>AM13+AN13</f>
        <v>0</v>
      </c>
      <c r="AT13" s="37">
        <f>G13/(100-AU13)*100</f>
        <v>0</v>
      </c>
      <c r="AU13" s="37">
        <v>0</v>
      </c>
      <c r="AV13" s="37">
        <f>L13</f>
        <v>0</v>
      </c>
    </row>
    <row r="14" spans="1:48" ht="12.75">
      <c r="A14" s="5" t="s">
        <v>8</v>
      </c>
      <c r="B14" s="5"/>
      <c r="C14" s="5" t="s">
        <v>381</v>
      </c>
      <c r="D14" s="5" t="s">
        <v>743</v>
      </c>
      <c r="E14" s="5" t="s">
        <v>1150</v>
      </c>
      <c r="F14" s="19">
        <v>9.114</v>
      </c>
      <c r="G14" s="19">
        <v>0</v>
      </c>
      <c r="H14" s="19">
        <f>F14*AE14</f>
        <v>0</v>
      </c>
      <c r="I14" s="19">
        <f>J14-H14</f>
        <v>0</v>
      </c>
      <c r="J14" s="19">
        <f>F14*G14</f>
        <v>0</v>
      </c>
      <c r="K14" s="19">
        <v>0</v>
      </c>
      <c r="L14" s="19">
        <f>F14*K14</f>
        <v>0</v>
      </c>
      <c r="M14" s="33" t="s">
        <v>1177</v>
      </c>
      <c r="P14" s="37">
        <f>IF(AG14="5",J14,0)</f>
        <v>0</v>
      </c>
      <c r="R14" s="37">
        <f>IF(AG14="1",H14,0)</f>
        <v>0</v>
      </c>
      <c r="S14" s="37">
        <f>IF(AG14="1",I14,0)</f>
        <v>0</v>
      </c>
      <c r="T14" s="37">
        <f>IF(AG14="7",H14,0)</f>
        <v>0</v>
      </c>
      <c r="U14" s="37">
        <f>IF(AG14="7",I14,0)</f>
        <v>0</v>
      </c>
      <c r="V14" s="37">
        <f>IF(AG14="2",H14,0)</f>
        <v>0</v>
      </c>
      <c r="W14" s="37">
        <f>IF(AG14="2",I14,0)</f>
        <v>0</v>
      </c>
      <c r="X14" s="37">
        <f>IF(AG14="0",J14,0)</f>
        <v>0</v>
      </c>
      <c r="Y14" s="28"/>
      <c r="Z14" s="19">
        <f>IF(AD14=0,J14,0)</f>
        <v>0</v>
      </c>
      <c r="AA14" s="19">
        <f>IF(AD14=15,J14,0)</f>
        <v>0</v>
      </c>
      <c r="AB14" s="19">
        <f>IF(AD14=21,J14,0)</f>
        <v>0</v>
      </c>
      <c r="AD14" s="37">
        <v>21</v>
      </c>
      <c r="AE14" s="37">
        <f>G14*0</f>
        <v>0</v>
      </c>
      <c r="AF14" s="37">
        <f>G14*(1-0)</f>
        <v>0</v>
      </c>
      <c r="AG14" s="33" t="s">
        <v>7</v>
      </c>
      <c r="AM14" s="37">
        <f>F14*AE14</f>
        <v>0</v>
      </c>
      <c r="AN14" s="37">
        <f>F14*AF14</f>
        <v>0</v>
      </c>
      <c r="AO14" s="38" t="s">
        <v>1187</v>
      </c>
      <c r="AP14" s="38" t="s">
        <v>1222</v>
      </c>
      <c r="AQ14" s="28" t="s">
        <v>1234</v>
      </c>
      <c r="AS14" s="37">
        <f>AM14+AN14</f>
        <v>0</v>
      </c>
      <c r="AT14" s="37">
        <f>G14/(100-AU14)*100</f>
        <v>0</v>
      </c>
      <c r="AU14" s="37">
        <v>0</v>
      </c>
      <c r="AV14" s="37">
        <f>L14</f>
        <v>0</v>
      </c>
    </row>
    <row r="15" spans="1:48" ht="12.75">
      <c r="A15" s="5" t="s">
        <v>9</v>
      </c>
      <c r="B15" s="5"/>
      <c r="C15" s="5" t="s">
        <v>382</v>
      </c>
      <c r="D15" s="5" t="s">
        <v>744</v>
      </c>
      <c r="E15" s="5" t="s">
        <v>1150</v>
      </c>
      <c r="F15" s="19">
        <v>0.53</v>
      </c>
      <c r="G15" s="19">
        <v>0</v>
      </c>
      <c r="H15" s="19">
        <f>F15*AE15</f>
        <v>0</v>
      </c>
      <c r="I15" s="19">
        <f>J15-H15</f>
        <v>0</v>
      </c>
      <c r="J15" s="19">
        <f>F15*G15</f>
        <v>0</v>
      </c>
      <c r="K15" s="19">
        <v>0</v>
      </c>
      <c r="L15" s="19">
        <f>F15*K15</f>
        <v>0</v>
      </c>
      <c r="M15" s="33" t="s">
        <v>1177</v>
      </c>
      <c r="P15" s="37">
        <f>IF(AG15="5",J15,0)</f>
        <v>0</v>
      </c>
      <c r="R15" s="37">
        <f>IF(AG15="1",H15,0)</f>
        <v>0</v>
      </c>
      <c r="S15" s="37">
        <f>IF(AG15="1",I15,0)</f>
        <v>0</v>
      </c>
      <c r="T15" s="37">
        <f>IF(AG15="7",H15,0)</f>
        <v>0</v>
      </c>
      <c r="U15" s="37">
        <f>IF(AG15="7",I15,0)</f>
        <v>0</v>
      </c>
      <c r="V15" s="37">
        <f>IF(AG15="2",H15,0)</f>
        <v>0</v>
      </c>
      <c r="W15" s="37">
        <f>IF(AG15="2",I15,0)</f>
        <v>0</v>
      </c>
      <c r="X15" s="37">
        <f>IF(AG15="0",J15,0)</f>
        <v>0</v>
      </c>
      <c r="Y15" s="28"/>
      <c r="Z15" s="19">
        <f>IF(AD15=0,J15,0)</f>
        <v>0</v>
      </c>
      <c r="AA15" s="19">
        <f>IF(AD15=15,J15,0)</f>
        <v>0</v>
      </c>
      <c r="AB15" s="19">
        <f>IF(AD15=21,J15,0)</f>
        <v>0</v>
      </c>
      <c r="AD15" s="37">
        <v>21</v>
      </c>
      <c r="AE15" s="37">
        <f>G15*0</f>
        <v>0</v>
      </c>
      <c r="AF15" s="37">
        <f>G15*(1-0)</f>
        <v>0</v>
      </c>
      <c r="AG15" s="33" t="s">
        <v>7</v>
      </c>
      <c r="AM15" s="37">
        <f>F15*AE15</f>
        <v>0</v>
      </c>
      <c r="AN15" s="37">
        <f>F15*AF15</f>
        <v>0</v>
      </c>
      <c r="AO15" s="38" t="s">
        <v>1187</v>
      </c>
      <c r="AP15" s="38" t="s">
        <v>1222</v>
      </c>
      <c r="AQ15" s="28" t="s">
        <v>1234</v>
      </c>
      <c r="AS15" s="37">
        <f>AM15+AN15</f>
        <v>0</v>
      </c>
      <c r="AT15" s="37">
        <f>G15/(100-AU15)*100</f>
        <v>0</v>
      </c>
      <c r="AU15" s="37">
        <v>0</v>
      </c>
      <c r="AV15" s="37">
        <f>L15</f>
        <v>0</v>
      </c>
    </row>
    <row r="16" spans="1:48" ht="12.75">
      <c r="A16" s="5" t="s">
        <v>10</v>
      </c>
      <c r="B16" s="5"/>
      <c r="C16" s="5" t="s">
        <v>383</v>
      </c>
      <c r="D16" s="5" t="s">
        <v>745</v>
      </c>
      <c r="E16" s="5" t="s">
        <v>1150</v>
      </c>
      <c r="F16" s="19">
        <v>0.53</v>
      </c>
      <c r="G16" s="19">
        <v>0</v>
      </c>
      <c r="H16" s="19">
        <f>F16*AE16</f>
        <v>0</v>
      </c>
      <c r="I16" s="19">
        <f>J16-H16</f>
        <v>0</v>
      </c>
      <c r="J16" s="19">
        <f>F16*G16</f>
        <v>0</v>
      </c>
      <c r="K16" s="19">
        <v>0</v>
      </c>
      <c r="L16" s="19">
        <f>F16*K16</f>
        <v>0</v>
      </c>
      <c r="M16" s="33" t="s">
        <v>1177</v>
      </c>
      <c r="P16" s="37">
        <f>IF(AG16="5",J16,0)</f>
        <v>0</v>
      </c>
      <c r="R16" s="37">
        <f>IF(AG16="1",H16,0)</f>
        <v>0</v>
      </c>
      <c r="S16" s="37">
        <f>IF(AG16="1",I16,0)</f>
        <v>0</v>
      </c>
      <c r="T16" s="37">
        <f>IF(AG16="7",H16,0)</f>
        <v>0</v>
      </c>
      <c r="U16" s="37">
        <f>IF(AG16="7",I16,0)</f>
        <v>0</v>
      </c>
      <c r="V16" s="37">
        <f>IF(AG16="2",H16,0)</f>
        <v>0</v>
      </c>
      <c r="W16" s="37">
        <f>IF(AG16="2",I16,0)</f>
        <v>0</v>
      </c>
      <c r="X16" s="37">
        <f>IF(AG16="0",J16,0)</f>
        <v>0</v>
      </c>
      <c r="Y16" s="28"/>
      <c r="Z16" s="19">
        <f>IF(AD16=0,J16,0)</f>
        <v>0</v>
      </c>
      <c r="AA16" s="19">
        <f>IF(AD16=15,J16,0)</f>
        <v>0</v>
      </c>
      <c r="AB16" s="19">
        <f>IF(AD16=21,J16,0)</f>
        <v>0</v>
      </c>
      <c r="AD16" s="37">
        <v>21</v>
      </c>
      <c r="AE16" s="37">
        <f>G16*0</f>
        <v>0</v>
      </c>
      <c r="AF16" s="37">
        <f>G16*(1-0)</f>
        <v>0</v>
      </c>
      <c r="AG16" s="33" t="s">
        <v>7</v>
      </c>
      <c r="AM16" s="37">
        <f>F16*AE16</f>
        <v>0</v>
      </c>
      <c r="AN16" s="37">
        <f>F16*AF16</f>
        <v>0</v>
      </c>
      <c r="AO16" s="38" t="s">
        <v>1187</v>
      </c>
      <c r="AP16" s="38" t="s">
        <v>1222</v>
      </c>
      <c r="AQ16" s="28" t="s">
        <v>1234</v>
      </c>
      <c r="AS16" s="37">
        <f>AM16+AN16</f>
        <v>0</v>
      </c>
      <c r="AT16" s="37">
        <f>G16/(100-AU16)*100</f>
        <v>0</v>
      </c>
      <c r="AU16" s="37">
        <v>0</v>
      </c>
      <c r="AV16" s="37">
        <f>L16</f>
        <v>0</v>
      </c>
    </row>
    <row r="17" spans="1:37" ht="12.75">
      <c r="A17" s="6"/>
      <c r="B17" s="14"/>
      <c r="C17" s="14" t="s">
        <v>22</v>
      </c>
      <c r="D17" s="14" t="s">
        <v>746</v>
      </c>
      <c r="E17" s="6" t="s">
        <v>6</v>
      </c>
      <c r="F17" s="6" t="s">
        <v>6</v>
      </c>
      <c r="G17" s="6" t="s">
        <v>6</v>
      </c>
      <c r="H17" s="40">
        <f>SUM(H18:H18)</f>
        <v>0</v>
      </c>
      <c r="I17" s="40">
        <f>SUM(I18:I18)</f>
        <v>0</v>
      </c>
      <c r="J17" s="40">
        <f>H17+I17</f>
        <v>0</v>
      </c>
      <c r="K17" s="28"/>
      <c r="L17" s="40">
        <f>SUM(L18:L18)</f>
        <v>0</v>
      </c>
      <c r="M17" s="28"/>
      <c r="Y17" s="28"/>
      <c r="AI17" s="40">
        <f>SUM(Z18:Z18)</f>
        <v>0</v>
      </c>
      <c r="AJ17" s="40">
        <f>SUM(AA18:AA18)</f>
        <v>0</v>
      </c>
      <c r="AK17" s="40">
        <f>SUM(AB18:AB18)</f>
        <v>0</v>
      </c>
    </row>
    <row r="18" spans="1:48" ht="12.75">
      <c r="A18" s="5" t="s">
        <v>11</v>
      </c>
      <c r="B18" s="5"/>
      <c r="C18" s="5" t="s">
        <v>384</v>
      </c>
      <c r="D18" s="5" t="s">
        <v>747</v>
      </c>
      <c r="E18" s="5" t="s">
        <v>1150</v>
      </c>
      <c r="F18" s="19">
        <v>9.644</v>
      </c>
      <c r="G18" s="19">
        <v>0</v>
      </c>
      <c r="H18" s="19">
        <f>F18*AE18</f>
        <v>0</v>
      </c>
      <c r="I18" s="19">
        <f>J18-H18</f>
        <v>0</v>
      </c>
      <c r="J18" s="19">
        <f>F18*G18</f>
        <v>0</v>
      </c>
      <c r="K18" s="19">
        <v>0</v>
      </c>
      <c r="L18" s="19">
        <f>F18*K18</f>
        <v>0</v>
      </c>
      <c r="M18" s="33" t="s">
        <v>1177</v>
      </c>
      <c r="P18" s="37">
        <f>IF(AG18="5",J18,0)</f>
        <v>0</v>
      </c>
      <c r="R18" s="37">
        <f>IF(AG18="1",H18,0)</f>
        <v>0</v>
      </c>
      <c r="S18" s="37">
        <f>IF(AG18="1",I18,0)</f>
        <v>0</v>
      </c>
      <c r="T18" s="37">
        <f>IF(AG18="7",H18,0)</f>
        <v>0</v>
      </c>
      <c r="U18" s="37">
        <f>IF(AG18="7",I18,0)</f>
        <v>0</v>
      </c>
      <c r="V18" s="37">
        <f>IF(AG18="2",H18,0)</f>
        <v>0</v>
      </c>
      <c r="W18" s="37">
        <f>IF(AG18="2",I18,0)</f>
        <v>0</v>
      </c>
      <c r="X18" s="37">
        <f>IF(AG18="0",J18,0)</f>
        <v>0</v>
      </c>
      <c r="Y18" s="28"/>
      <c r="Z18" s="19">
        <f>IF(AD18=0,J18,0)</f>
        <v>0</v>
      </c>
      <c r="AA18" s="19">
        <f>IF(AD18=15,J18,0)</f>
        <v>0</v>
      </c>
      <c r="AB18" s="19">
        <f>IF(AD18=21,J18,0)</f>
        <v>0</v>
      </c>
      <c r="AD18" s="37">
        <v>21</v>
      </c>
      <c r="AE18" s="37">
        <f>G18*0</f>
        <v>0</v>
      </c>
      <c r="AF18" s="37">
        <f>G18*(1-0)</f>
        <v>0</v>
      </c>
      <c r="AG18" s="33" t="s">
        <v>7</v>
      </c>
      <c r="AM18" s="37">
        <f>F18*AE18</f>
        <v>0</v>
      </c>
      <c r="AN18" s="37">
        <f>F18*AF18</f>
        <v>0</v>
      </c>
      <c r="AO18" s="38" t="s">
        <v>1188</v>
      </c>
      <c r="AP18" s="38" t="s">
        <v>1222</v>
      </c>
      <c r="AQ18" s="28" t="s">
        <v>1234</v>
      </c>
      <c r="AS18" s="37">
        <f>AM18+AN18</f>
        <v>0</v>
      </c>
      <c r="AT18" s="37">
        <f>G18/(100-AU18)*100</f>
        <v>0</v>
      </c>
      <c r="AU18" s="37">
        <v>0</v>
      </c>
      <c r="AV18" s="37">
        <f>L18</f>
        <v>0</v>
      </c>
    </row>
    <row r="19" spans="1:37" ht="12.75">
      <c r="A19" s="6"/>
      <c r="B19" s="14"/>
      <c r="C19" s="14" t="s">
        <v>24</v>
      </c>
      <c r="D19" s="14" t="s">
        <v>748</v>
      </c>
      <c r="E19" s="6" t="s">
        <v>6</v>
      </c>
      <c r="F19" s="6" t="s">
        <v>6</v>
      </c>
      <c r="G19" s="6" t="s">
        <v>6</v>
      </c>
      <c r="H19" s="40">
        <f>SUM(H20:H21)</f>
        <v>0</v>
      </c>
      <c r="I19" s="40">
        <f>SUM(I20:I21)</f>
        <v>0</v>
      </c>
      <c r="J19" s="40">
        <f>H19+I19</f>
        <v>0</v>
      </c>
      <c r="K19" s="28"/>
      <c r="L19" s="40">
        <f>SUM(L20:L21)</f>
        <v>0</v>
      </c>
      <c r="M19" s="28"/>
      <c r="Y19" s="28"/>
      <c r="AI19" s="40">
        <f>SUM(Z20:Z21)</f>
        <v>0</v>
      </c>
      <c r="AJ19" s="40">
        <f>SUM(AA20:AA21)</f>
        <v>0</v>
      </c>
      <c r="AK19" s="40">
        <f>SUM(AB20:AB21)</f>
        <v>0</v>
      </c>
    </row>
    <row r="20" spans="1:48" ht="12.75">
      <c r="A20" s="5" t="s">
        <v>12</v>
      </c>
      <c r="B20" s="5"/>
      <c r="C20" s="5" t="s">
        <v>385</v>
      </c>
      <c r="D20" s="5" t="s">
        <v>749</v>
      </c>
      <c r="E20" s="5" t="s">
        <v>1151</v>
      </c>
      <c r="F20" s="19">
        <v>16</v>
      </c>
      <c r="G20" s="19">
        <v>0</v>
      </c>
      <c r="H20" s="19">
        <f>F20*AE20</f>
        <v>0</v>
      </c>
      <c r="I20" s="19">
        <f>J20-H20</f>
        <v>0</v>
      </c>
      <c r="J20" s="19">
        <f>F20*G20</f>
        <v>0</v>
      </c>
      <c r="K20" s="19">
        <v>0</v>
      </c>
      <c r="L20" s="19">
        <f>F20*K20</f>
        <v>0</v>
      </c>
      <c r="M20" s="33" t="s">
        <v>1177</v>
      </c>
      <c r="P20" s="37">
        <f>IF(AG20="5",J20,0)</f>
        <v>0</v>
      </c>
      <c r="R20" s="37">
        <f>IF(AG20="1",H20,0)</f>
        <v>0</v>
      </c>
      <c r="S20" s="37">
        <f>IF(AG20="1",I20,0)</f>
        <v>0</v>
      </c>
      <c r="T20" s="37">
        <f>IF(AG20="7",H20,0)</f>
        <v>0</v>
      </c>
      <c r="U20" s="37">
        <f>IF(AG20="7",I20,0)</f>
        <v>0</v>
      </c>
      <c r="V20" s="37">
        <f>IF(AG20="2",H20,0)</f>
        <v>0</v>
      </c>
      <c r="W20" s="37">
        <f>IF(AG20="2",I20,0)</f>
        <v>0</v>
      </c>
      <c r="X20" s="37">
        <f>IF(AG20="0",J20,0)</f>
        <v>0</v>
      </c>
      <c r="Y20" s="28"/>
      <c r="Z20" s="19">
        <f>IF(AD20=0,J20,0)</f>
        <v>0</v>
      </c>
      <c r="AA20" s="19">
        <f>IF(AD20=15,J20,0)</f>
        <v>0</v>
      </c>
      <c r="AB20" s="19">
        <f>IF(AD20=21,J20,0)</f>
        <v>0</v>
      </c>
      <c r="AD20" s="37">
        <v>21</v>
      </c>
      <c r="AE20" s="37">
        <f>G20*0.0240168539325843</f>
        <v>0</v>
      </c>
      <c r="AF20" s="37">
        <f>G20*(1-0.0240168539325843)</f>
        <v>0</v>
      </c>
      <c r="AG20" s="33" t="s">
        <v>7</v>
      </c>
      <c r="AM20" s="37">
        <f>F20*AE20</f>
        <v>0</v>
      </c>
      <c r="AN20" s="37">
        <f>F20*AF20</f>
        <v>0</v>
      </c>
      <c r="AO20" s="38" t="s">
        <v>1189</v>
      </c>
      <c r="AP20" s="38" t="s">
        <v>1222</v>
      </c>
      <c r="AQ20" s="28" t="s">
        <v>1234</v>
      </c>
      <c r="AS20" s="37">
        <f>AM20+AN20</f>
        <v>0</v>
      </c>
      <c r="AT20" s="37">
        <f>G20/(100-AU20)*100</f>
        <v>0</v>
      </c>
      <c r="AU20" s="37">
        <v>0</v>
      </c>
      <c r="AV20" s="37">
        <f>L20</f>
        <v>0</v>
      </c>
    </row>
    <row r="21" spans="1:48" ht="12.75">
      <c r="A21" s="5" t="s">
        <v>13</v>
      </c>
      <c r="B21" s="5"/>
      <c r="C21" s="5" t="s">
        <v>386</v>
      </c>
      <c r="D21" s="5" t="s">
        <v>750</v>
      </c>
      <c r="E21" s="5" t="s">
        <v>1151</v>
      </c>
      <c r="F21" s="19">
        <v>16</v>
      </c>
      <c r="G21" s="19">
        <v>0</v>
      </c>
      <c r="H21" s="19">
        <f>F21*AE21</f>
        <v>0</v>
      </c>
      <c r="I21" s="19">
        <f>J21-H21</f>
        <v>0</v>
      </c>
      <c r="J21" s="19">
        <f>F21*G21</f>
        <v>0</v>
      </c>
      <c r="K21" s="19">
        <v>0</v>
      </c>
      <c r="L21" s="19">
        <f>F21*K21</f>
        <v>0</v>
      </c>
      <c r="M21" s="33" t="s">
        <v>1177</v>
      </c>
      <c r="P21" s="37">
        <f>IF(AG21="5",J21,0)</f>
        <v>0</v>
      </c>
      <c r="R21" s="37">
        <f>IF(AG21="1",H21,0)</f>
        <v>0</v>
      </c>
      <c r="S21" s="37">
        <f>IF(AG21="1",I21,0)</f>
        <v>0</v>
      </c>
      <c r="T21" s="37">
        <f>IF(AG21="7",H21,0)</f>
        <v>0</v>
      </c>
      <c r="U21" s="37">
        <f>IF(AG21="7",I21,0)</f>
        <v>0</v>
      </c>
      <c r="V21" s="37">
        <f>IF(AG21="2",H21,0)</f>
        <v>0</v>
      </c>
      <c r="W21" s="37">
        <f>IF(AG21="2",I21,0)</f>
        <v>0</v>
      </c>
      <c r="X21" s="37">
        <f>IF(AG21="0",J21,0)</f>
        <v>0</v>
      </c>
      <c r="Y21" s="28"/>
      <c r="Z21" s="19">
        <f>IF(AD21=0,J21,0)</f>
        <v>0</v>
      </c>
      <c r="AA21" s="19">
        <f>IF(AD21=15,J21,0)</f>
        <v>0</v>
      </c>
      <c r="AB21" s="19">
        <f>IF(AD21=21,J21,0)</f>
        <v>0</v>
      </c>
      <c r="AD21" s="37">
        <v>21</v>
      </c>
      <c r="AE21" s="37">
        <f>G21*0</f>
        <v>0</v>
      </c>
      <c r="AF21" s="37">
        <f>G21*(1-0)</f>
        <v>0</v>
      </c>
      <c r="AG21" s="33" t="s">
        <v>7</v>
      </c>
      <c r="AM21" s="37">
        <f>F21*AE21</f>
        <v>0</v>
      </c>
      <c r="AN21" s="37">
        <f>F21*AF21</f>
        <v>0</v>
      </c>
      <c r="AO21" s="38" t="s">
        <v>1189</v>
      </c>
      <c r="AP21" s="38" t="s">
        <v>1222</v>
      </c>
      <c r="AQ21" s="28" t="s">
        <v>1234</v>
      </c>
      <c r="AS21" s="37">
        <f>AM21+AN21</f>
        <v>0</v>
      </c>
      <c r="AT21" s="37">
        <f>G21/(100-AU21)*100</f>
        <v>0</v>
      </c>
      <c r="AU21" s="37">
        <v>0</v>
      </c>
      <c r="AV21" s="37">
        <f>L21</f>
        <v>0</v>
      </c>
    </row>
    <row r="22" spans="1:37" ht="12.75">
      <c r="A22" s="6"/>
      <c r="B22" s="14"/>
      <c r="C22" s="14" t="s">
        <v>33</v>
      </c>
      <c r="D22" s="14" t="s">
        <v>751</v>
      </c>
      <c r="E22" s="6" t="s">
        <v>6</v>
      </c>
      <c r="F22" s="6" t="s">
        <v>6</v>
      </c>
      <c r="G22" s="6" t="s">
        <v>6</v>
      </c>
      <c r="H22" s="40">
        <f>SUM(H23:H29)</f>
        <v>0</v>
      </c>
      <c r="I22" s="40">
        <f>SUM(I23:I29)</f>
        <v>0</v>
      </c>
      <c r="J22" s="40">
        <f>H22+I22</f>
        <v>0</v>
      </c>
      <c r="K22" s="28"/>
      <c r="L22" s="40">
        <f>SUM(L23:L29)</f>
        <v>75.08490157359999</v>
      </c>
      <c r="M22" s="28"/>
      <c r="Y22" s="28"/>
      <c r="AI22" s="40">
        <f>SUM(Z23:Z29)</f>
        <v>0</v>
      </c>
      <c r="AJ22" s="40">
        <f>SUM(AA23:AA29)</f>
        <v>0</v>
      </c>
      <c r="AK22" s="40">
        <f>SUM(AB23:AB29)</f>
        <v>0</v>
      </c>
    </row>
    <row r="23" spans="1:48" ht="12.75">
      <c r="A23" s="5" t="s">
        <v>14</v>
      </c>
      <c r="B23" s="5"/>
      <c r="C23" s="5" t="s">
        <v>387</v>
      </c>
      <c r="D23" s="5" t="s">
        <v>752</v>
      </c>
      <c r="E23" s="5" t="s">
        <v>1150</v>
      </c>
      <c r="F23" s="19">
        <v>1.2832</v>
      </c>
      <c r="G23" s="19">
        <v>0</v>
      </c>
      <c r="H23" s="19">
        <f>F23*AE23</f>
        <v>0</v>
      </c>
      <c r="I23" s="19">
        <f>J23-H23</f>
        <v>0</v>
      </c>
      <c r="J23" s="19">
        <f>F23*G23</f>
        <v>0</v>
      </c>
      <c r="K23" s="19">
        <v>2.16</v>
      </c>
      <c r="L23" s="19">
        <f>F23*K23</f>
        <v>2.771712</v>
      </c>
      <c r="M23" s="33" t="s">
        <v>1177</v>
      </c>
      <c r="P23" s="37">
        <f>IF(AG23="5",J23,0)</f>
        <v>0</v>
      </c>
      <c r="R23" s="37">
        <f>IF(AG23="1",H23,0)</f>
        <v>0</v>
      </c>
      <c r="S23" s="37">
        <f>IF(AG23="1",I23,0)</f>
        <v>0</v>
      </c>
      <c r="T23" s="37">
        <f>IF(AG23="7",H23,0)</f>
        <v>0</v>
      </c>
      <c r="U23" s="37">
        <f>IF(AG23="7",I23,0)</f>
        <v>0</v>
      </c>
      <c r="V23" s="37">
        <f>IF(AG23="2",H23,0)</f>
        <v>0</v>
      </c>
      <c r="W23" s="37">
        <f>IF(AG23="2",I23,0)</f>
        <v>0</v>
      </c>
      <c r="X23" s="37">
        <f>IF(AG23="0",J23,0)</f>
        <v>0</v>
      </c>
      <c r="Y23" s="28"/>
      <c r="Z23" s="19">
        <f>IF(AD23=0,J23,0)</f>
        <v>0</v>
      </c>
      <c r="AA23" s="19">
        <f>IF(AD23=15,J23,0)</f>
        <v>0</v>
      </c>
      <c r="AB23" s="19">
        <f>IF(AD23=21,J23,0)</f>
        <v>0</v>
      </c>
      <c r="AD23" s="37">
        <v>21</v>
      </c>
      <c r="AE23" s="37">
        <f>G23*0.665557582396577</f>
        <v>0</v>
      </c>
      <c r="AF23" s="37">
        <f>G23*(1-0.665557582396577)</f>
        <v>0</v>
      </c>
      <c r="AG23" s="33" t="s">
        <v>7</v>
      </c>
      <c r="AM23" s="37">
        <f>F23*AE23</f>
        <v>0</v>
      </c>
      <c r="AN23" s="37">
        <f>F23*AF23</f>
        <v>0</v>
      </c>
      <c r="AO23" s="38" t="s">
        <v>1190</v>
      </c>
      <c r="AP23" s="38" t="s">
        <v>1223</v>
      </c>
      <c r="AQ23" s="28" t="s">
        <v>1234</v>
      </c>
      <c r="AS23" s="37">
        <f>AM23+AN23</f>
        <v>0</v>
      </c>
      <c r="AT23" s="37">
        <f>G23/(100-AU23)*100</f>
        <v>0</v>
      </c>
      <c r="AU23" s="37">
        <v>0</v>
      </c>
      <c r="AV23" s="37">
        <f>L23</f>
        <v>2.771712</v>
      </c>
    </row>
    <row r="24" spans="1:48" ht="12.75">
      <c r="A24" s="5" t="s">
        <v>15</v>
      </c>
      <c r="B24" s="5"/>
      <c r="C24" s="5" t="s">
        <v>388</v>
      </c>
      <c r="D24" s="5" t="s">
        <v>753</v>
      </c>
      <c r="E24" s="5" t="s">
        <v>1150</v>
      </c>
      <c r="F24" s="19">
        <v>17.905</v>
      </c>
      <c r="G24" s="19">
        <v>0</v>
      </c>
      <c r="H24" s="19">
        <f>F24*AE24</f>
        <v>0</v>
      </c>
      <c r="I24" s="19">
        <f>J24-H24</f>
        <v>0</v>
      </c>
      <c r="J24" s="19">
        <f>F24*G24</f>
        <v>0</v>
      </c>
      <c r="K24" s="19">
        <v>2.525</v>
      </c>
      <c r="L24" s="19">
        <f>F24*K24</f>
        <v>45.210125</v>
      </c>
      <c r="M24" s="33" t="s">
        <v>1177</v>
      </c>
      <c r="P24" s="37">
        <f>IF(AG24="5",J24,0)</f>
        <v>0</v>
      </c>
      <c r="R24" s="37">
        <f>IF(AG24="1",H24,0)</f>
        <v>0</v>
      </c>
      <c r="S24" s="37">
        <f>IF(AG24="1",I24,0)</f>
        <v>0</v>
      </c>
      <c r="T24" s="37">
        <f>IF(AG24="7",H24,0)</f>
        <v>0</v>
      </c>
      <c r="U24" s="37">
        <f>IF(AG24="7",I24,0)</f>
        <v>0</v>
      </c>
      <c r="V24" s="37">
        <f>IF(AG24="2",H24,0)</f>
        <v>0</v>
      </c>
      <c r="W24" s="37">
        <f>IF(AG24="2",I24,0)</f>
        <v>0</v>
      </c>
      <c r="X24" s="37">
        <f>IF(AG24="0",J24,0)</f>
        <v>0</v>
      </c>
      <c r="Y24" s="28"/>
      <c r="Z24" s="19">
        <f>IF(AD24=0,J24,0)</f>
        <v>0</v>
      </c>
      <c r="AA24" s="19">
        <f>IF(AD24=15,J24,0)</f>
        <v>0</v>
      </c>
      <c r="AB24" s="19">
        <f>IF(AD24=21,J24,0)</f>
        <v>0</v>
      </c>
      <c r="AD24" s="37">
        <v>21</v>
      </c>
      <c r="AE24" s="37">
        <f>G24*0.903085035431656</f>
        <v>0</v>
      </c>
      <c r="AF24" s="37">
        <f>G24*(1-0.903085035431656)</f>
        <v>0</v>
      </c>
      <c r="AG24" s="33" t="s">
        <v>7</v>
      </c>
      <c r="AM24" s="37">
        <f>F24*AE24</f>
        <v>0</v>
      </c>
      <c r="AN24" s="37">
        <f>F24*AF24</f>
        <v>0</v>
      </c>
      <c r="AO24" s="38" t="s">
        <v>1190</v>
      </c>
      <c r="AP24" s="38" t="s">
        <v>1223</v>
      </c>
      <c r="AQ24" s="28" t="s">
        <v>1234</v>
      </c>
      <c r="AS24" s="37">
        <f>AM24+AN24</f>
        <v>0</v>
      </c>
      <c r="AT24" s="37">
        <f>G24/(100-AU24)*100</f>
        <v>0</v>
      </c>
      <c r="AU24" s="37">
        <v>0</v>
      </c>
      <c r="AV24" s="37">
        <f>L24</f>
        <v>45.210125</v>
      </c>
    </row>
    <row r="25" ht="12.75">
      <c r="D25" s="16" t="s">
        <v>754</v>
      </c>
    </row>
    <row r="26" spans="1:48" ht="12.75">
      <c r="A26" s="5" t="s">
        <v>16</v>
      </c>
      <c r="B26" s="5"/>
      <c r="C26" s="5" t="s">
        <v>389</v>
      </c>
      <c r="D26" s="5" t="s">
        <v>755</v>
      </c>
      <c r="E26" s="5" t="s">
        <v>1152</v>
      </c>
      <c r="F26" s="19">
        <v>1.37869</v>
      </c>
      <c r="G26" s="19">
        <v>0</v>
      </c>
      <c r="H26" s="19">
        <f>F26*AE26</f>
        <v>0</v>
      </c>
      <c r="I26" s="19">
        <f>J26-H26</f>
        <v>0</v>
      </c>
      <c r="J26" s="19">
        <f>F26*G26</f>
        <v>0</v>
      </c>
      <c r="K26" s="19">
        <v>1.05544</v>
      </c>
      <c r="L26" s="19">
        <f>F26*K26</f>
        <v>1.4551245735999998</v>
      </c>
      <c r="M26" s="33" t="s">
        <v>1177</v>
      </c>
      <c r="P26" s="37">
        <f>IF(AG26="5",J26,0)</f>
        <v>0</v>
      </c>
      <c r="R26" s="37">
        <f>IF(AG26="1",H26,0)</f>
        <v>0</v>
      </c>
      <c r="S26" s="37">
        <f>IF(AG26="1",I26,0)</f>
        <v>0</v>
      </c>
      <c r="T26" s="37">
        <f>IF(AG26="7",H26,0)</f>
        <v>0</v>
      </c>
      <c r="U26" s="37">
        <f>IF(AG26="7",I26,0)</f>
        <v>0</v>
      </c>
      <c r="V26" s="37">
        <f>IF(AG26="2",H26,0)</f>
        <v>0</v>
      </c>
      <c r="W26" s="37">
        <f>IF(AG26="2",I26,0)</f>
        <v>0</v>
      </c>
      <c r="X26" s="37">
        <f>IF(AG26="0",J26,0)</f>
        <v>0</v>
      </c>
      <c r="Y26" s="28"/>
      <c r="Z26" s="19">
        <f>IF(AD26=0,J26,0)</f>
        <v>0</v>
      </c>
      <c r="AA26" s="19">
        <f>IF(AD26=15,J26,0)</f>
        <v>0</v>
      </c>
      <c r="AB26" s="19">
        <f>IF(AD26=21,J26,0)</f>
        <v>0</v>
      </c>
      <c r="AD26" s="37">
        <v>21</v>
      </c>
      <c r="AE26" s="37">
        <f>G26*0.804393341027291</f>
        <v>0</v>
      </c>
      <c r="AF26" s="37">
        <f>G26*(1-0.804393341027291)</f>
        <v>0</v>
      </c>
      <c r="AG26" s="33" t="s">
        <v>7</v>
      </c>
      <c r="AM26" s="37">
        <f>F26*AE26</f>
        <v>0</v>
      </c>
      <c r="AN26" s="37">
        <f>F26*AF26</f>
        <v>0</v>
      </c>
      <c r="AO26" s="38" t="s">
        <v>1190</v>
      </c>
      <c r="AP26" s="38" t="s">
        <v>1223</v>
      </c>
      <c r="AQ26" s="28" t="s">
        <v>1234</v>
      </c>
      <c r="AS26" s="37">
        <f>AM26+AN26</f>
        <v>0</v>
      </c>
      <c r="AT26" s="37">
        <f>G26/(100-AU26)*100</f>
        <v>0</v>
      </c>
      <c r="AU26" s="37">
        <v>0</v>
      </c>
      <c r="AV26" s="37">
        <f>L26</f>
        <v>1.4551245735999998</v>
      </c>
    </row>
    <row r="27" ht="12.75">
      <c r="D27" s="16" t="s">
        <v>756</v>
      </c>
    </row>
    <row r="28" spans="1:48" ht="12.75">
      <c r="A28" s="5" t="s">
        <v>17</v>
      </c>
      <c r="B28" s="5"/>
      <c r="C28" s="5" t="s">
        <v>390</v>
      </c>
      <c r="D28" s="5" t="s">
        <v>757</v>
      </c>
      <c r="E28" s="5" t="s">
        <v>1150</v>
      </c>
      <c r="F28" s="19">
        <v>9.7216</v>
      </c>
      <c r="G28" s="19">
        <v>0</v>
      </c>
      <c r="H28" s="19">
        <f>F28*AE28</f>
        <v>0</v>
      </c>
      <c r="I28" s="19">
        <f>J28-H28</f>
        <v>0</v>
      </c>
      <c r="J28" s="19">
        <f>F28*G28</f>
        <v>0</v>
      </c>
      <c r="K28" s="19">
        <v>2.525</v>
      </c>
      <c r="L28" s="19">
        <f>F28*K28</f>
        <v>24.54704</v>
      </c>
      <c r="M28" s="33" t="s">
        <v>1177</v>
      </c>
      <c r="P28" s="37">
        <f>IF(AG28="5",J28,0)</f>
        <v>0</v>
      </c>
      <c r="R28" s="37">
        <f>IF(AG28="1",H28,0)</f>
        <v>0</v>
      </c>
      <c r="S28" s="37">
        <f>IF(AG28="1",I28,0)</f>
        <v>0</v>
      </c>
      <c r="T28" s="37">
        <f>IF(AG28="7",H28,0)</f>
        <v>0</v>
      </c>
      <c r="U28" s="37">
        <f>IF(AG28="7",I28,0)</f>
        <v>0</v>
      </c>
      <c r="V28" s="37">
        <f>IF(AG28="2",H28,0)</f>
        <v>0</v>
      </c>
      <c r="W28" s="37">
        <f>IF(AG28="2",I28,0)</f>
        <v>0</v>
      </c>
      <c r="X28" s="37">
        <f>IF(AG28="0",J28,0)</f>
        <v>0</v>
      </c>
      <c r="Y28" s="28"/>
      <c r="Z28" s="19">
        <f>IF(AD28=0,J28,0)</f>
        <v>0</v>
      </c>
      <c r="AA28" s="19">
        <f>IF(AD28=15,J28,0)</f>
        <v>0</v>
      </c>
      <c r="AB28" s="19">
        <f>IF(AD28=21,J28,0)</f>
        <v>0</v>
      </c>
      <c r="AD28" s="37">
        <v>21</v>
      </c>
      <c r="AE28" s="37">
        <f>G28*0.895351852858719</f>
        <v>0</v>
      </c>
      <c r="AF28" s="37">
        <f>G28*(1-0.895351852858719)</f>
        <v>0</v>
      </c>
      <c r="AG28" s="33" t="s">
        <v>7</v>
      </c>
      <c r="AM28" s="37">
        <f>F28*AE28</f>
        <v>0</v>
      </c>
      <c r="AN28" s="37">
        <f>F28*AF28</f>
        <v>0</v>
      </c>
      <c r="AO28" s="38" t="s">
        <v>1190</v>
      </c>
      <c r="AP28" s="38" t="s">
        <v>1223</v>
      </c>
      <c r="AQ28" s="28" t="s">
        <v>1234</v>
      </c>
      <c r="AS28" s="37">
        <f>AM28+AN28</f>
        <v>0</v>
      </c>
      <c r="AT28" s="37">
        <f>G28/(100-AU28)*100</f>
        <v>0</v>
      </c>
      <c r="AU28" s="37">
        <v>0</v>
      </c>
      <c r="AV28" s="37">
        <f>L28</f>
        <v>24.54704</v>
      </c>
    </row>
    <row r="29" spans="1:48" ht="12.75">
      <c r="A29" s="5" t="s">
        <v>18</v>
      </c>
      <c r="B29" s="5"/>
      <c r="C29" s="5" t="s">
        <v>391</v>
      </c>
      <c r="D29" s="5" t="s">
        <v>758</v>
      </c>
      <c r="E29" s="5" t="s">
        <v>1150</v>
      </c>
      <c r="F29" s="19">
        <v>0.436</v>
      </c>
      <c r="G29" s="19">
        <v>0</v>
      </c>
      <c r="H29" s="19">
        <f>F29*AE29</f>
        <v>0</v>
      </c>
      <c r="I29" s="19">
        <f>J29-H29</f>
        <v>0</v>
      </c>
      <c r="J29" s="19">
        <f>F29*G29</f>
        <v>0</v>
      </c>
      <c r="K29" s="19">
        <v>2.525</v>
      </c>
      <c r="L29" s="19">
        <f>F29*K29</f>
        <v>1.1009</v>
      </c>
      <c r="M29" s="33" t="s">
        <v>1177</v>
      </c>
      <c r="P29" s="37">
        <f>IF(AG29="5",J29,0)</f>
        <v>0</v>
      </c>
      <c r="R29" s="37">
        <f>IF(AG29="1",H29,0)</f>
        <v>0</v>
      </c>
      <c r="S29" s="37">
        <f>IF(AG29="1",I29,0)</f>
        <v>0</v>
      </c>
      <c r="T29" s="37">
        <f>IF(AG29="7",H29,0)</f>
        <v>0</v>
      </c>
      <c r="U29" s="37">
        <f>IF(AG29="7",I29,0)</f>
        <v>0</v>
      </c>
      <c r="V29" s="37">
        <f>IF(AG29="2",H29,0)</f>
        <v>0</v>
      </c>
      <c r="W29" s="37">
        <f>IF(AG29="2",I29,0)</f>
        <v>0</v>
      </c>
      <c r="X29" s="37">
        <f>IF(AG29="0",J29,0)</f>
        <v>0</v>
      </c>
      <c r="Y29" s="28"/>
      <c r="Z29" s="19">
        <f>IF(AD29=0,J29,0)</f>
        <v>0</v>
      </c>
      <c r="AA29" s="19">
        <f>IF(AD29=15,J29,0)</f>
        <v>0</v>
      </c>
      <c r="AB29" s="19">
        <f>IF(AD29=21,J29,0)</f>
        <v>0</v>
      </c>
      <c r="AD29" s="37">
        <v>21</v>
      </c>
      <c r="AE29" s="37">
        <f>G29*0.895352040816327</f>
        <v>0</v>
      </c>
      <c r="AF29" s="37">
        <f>G29*(1-0.895352040816327)</f>
        <v>0</v>
      </c>
      <c r="AG29" s="33" t="s">
        <v>7</v>
      </c>
      <c r="AM29" s="37">
        <f>F29*AE29</f>
        <v>0</v>
      </c>
      <c r="AN29" s="37">
        <f>F29*AF29</f>
        <v>0</v>
      </c>
      <c r="AO29" s="38" t="s">
        <v>1190</v>
      </c>
      <c r="AP29" s="38" t="s">
        <v>1223</v>
      </c>
      <c r="AQ29" s="28" t="s">
        <v>1234</v>
      </c>
      <c r="AS29" s="37">
        <f>AM29+AN29</f>
        <v>0</v>
      </c>
      <c r="AT29" s="37">
        <f>G29/(100-AU29)*100</f>
        <v>0</v>
      </c>
      <c r="AU29" s="37">
        <v>0</v>
      </c>
      <c r="AV29" s="37">
        <f>L29</f>
        <v>1.1009</v>
      </c>
    </row>
    <row r="30" spans="1:37" ht="12.75">
      <c r="A30" s="6"/>
      <c r="B30" s="14"/>
      <c r="C30" s="14" t="s">
        <v>37</v>
      </c>
      <c r="D30" s="14" t="s">
        <v>759</v>
      </c>
      <c r="E30" s="6" t="s">
        <v>6</v>
      </c>
      <c r="F30" s="6" t="s">
        <v>6</v>
      </c>
      <c r="G30" s="6" t="s">
        <v>6</v>
      </c>
      <c r="H30" s="40">
        <f>SUM(H31:H38)</f>
        <v>0</v>
      </c>
      <c r="I30" s="40">
        <f>SUM(I31:I38)</f>
        <v>0</v>
      </c>
      <c r="J30" s="40">
        <f>H30+I30</f>
        <v>0</v>
      </c>
      <c r="K30" s="28"/>
      <c r="L30" s="40">
        <f>SUM(L31:L38)</f>
        <v>10.922361960400002</v>
      </c>
      <c r="M30" s="28"/>
      <c r="Y30" s="28"/>
      <c r="AI30" s="40">
        <f>SUM(Z31:Z38)</f>
        <v>0</v>
      </c>
      <c r="AJ30" s="40">
        <f>SUM(AA31:AA38)</f>
        <v>0</v>
      </c>
      <c r="AK30" s="40">
        <f>SUM(AB31:AB38)</f>
        <v>0</v>
      </c>
    </row>
    <row r="31" spans="1:48" ht="12.75">
      <c r="A31" s="5" t="s">
        <v>19</v>
      </c>
      <c r="B31" s="5"/>
      <c r="C31" s="5" t="s">
        <v>392</v>
      </c>
      <c r="D31" s="5" t="s">
        <v>760</v>
      </c>
      <c r="E31" s="5" t="s">
        <v>1151</v>
      </c>
      <c r="F31" s="19">
        <v>92.087</v>
      </c>
      <c r="G31" s="19">
        <v>0</v>
      </c>
      <c r="H31" s="19">
        <f>F31*AE31</f>
        <v>0</v>
      </c>
      <c r="I31" s="19">
        <f>J31-H31</f>
        <v>0</v>
      </c>
      <c r="J31" s="19">
        <f>F31*G31</f>
        <v>0</v>
      </c>
      <c r="K31" s="19">
        <v>0.1063</v>
      </c>
      <c r="L31" s="19">
        <f>F31*K31</f>
        <v>9.788848100000001</v>
      </c>
      <c r="M31" s="33" t="s">
        <v>1177</v>
      </c>
      <c r="P31" s="37">
        <f>IF(AG31="5",J31,0)</f>
        <v>0</v>
      </c>
      <c r="R31" s="37">
        <f>IF(AG31="1",H31,0)</f>
        <v>0</v>
      </c>
      <c r="S31" s="37">
        <f>IF(AG31="1",I31,0)</f>
        <v>0</v>
      </c>
      <c r="T31" s="37">
        <f>IF(AG31="7",H31,0)</f>
        <v>0</v>
      </c>
      <c r="U31" s="37">
        <f>IF(AG31="7",I31,0)</f>
        <v>0</v>
      </c>
      <c r="V31" s="37">
        <f>IF(AG31="2",H31,0)</f>
        <v>0</v>
      </c>
      <c r="W31" s="37">
        <f>IF(AG31="2",I31,0)</f>
        <v>0</v>
      </c>
      <c r="X31" s="37">
        <f>IF(AG31="0",J31,0)</f>
        <v>0</v>
      </c>
      <c r="Y31" s="28"/>
      <c r="Z31" s="19">
        <f>IF(AD31=0,J31,0)</f>
        <v>0</v>
      </c>
      <c r="AA31" s="19">
        <f>IF(AD31=15,J31,0)</f>
        <v>0</v>
      </c>
      <c r="AB31" s="19">
        <f>IF(AD31=21,J31,0)</f>
        <v>0</v>
      </c>
      <c r="AD31" s="37">
        <v>21</v>
      </c>
      <c r="AE31" s="37">
        <f>G31*0.729728258297455</f>
        <v>0</v>
      </c>
      <c r="AF31" s="37">
        <f>G31*(1-0.729728258297455)</f>
        <v>0</v>
      </c>
      <c r="AG31" s="33" t="s">
        <v>7</v>
      </c>
      <c r="AM31" s="37">
        <f>F31*AE31</f>
        <v>0</v>
      </c>
      <c r="AN31" s="37">
        <f>F31*AF31</f>
        <v>0</v>
      </c>
      <c r="AO31" s="38" t="s">
        <v>1191</v>
      </c>
      <c r="AP31" s="38" t="s">
        <v>1224</v>
      </c>
      <c r="AQ31" s="28" t="s">
        <v>1234</v>
      </c>
      <c r="AS31" s="37">
        <f>AM31+AN31</f>
        <v>0</v>
      </c>
      <c r="AT31" s="37">
        <f>G31/(100-AU31)*100</f>
        <v>0</v>
      </c>
      <c r="AU31" s="37">
        <v>0</v>
      </c>
      <c r="AV31" s="37">
        <f>L31</f>
        <v>9.788848100000001</v>
      </c>
    </row>
    <row r="32" spans="1:48" ht="12.75">
      <c r="A32" s="5" t="s">
        <v>20</v>
      </c>
      <c r="B32" s="5"/>
      <c r="C32" s="5" t="s">
        <v>393</v>
      </c>
      <c r="D32" s="5" t="s">
        <v>761</v>
      </c>
      <c r="E32" s="5" t="s">
        <v>1153</v>
      </c>
      <c r="F32" s="19">
        <v>3</v>
      </c>
      <c r="G32" s="19">
        <v>0</v>
      </c>
      <c r="H32" s="19">
        <f>F32*AE32</f>
        <v>0</v>
      </c>
      <c r="I32" s="19">
        <f>J32-H32</f>
        <v>0</v>
      </c>
      <c r="J32" s="19">
        <f>F32*G32</f>
        <v>0</v>
      </c>
      <c r="K32" s="19">
        <v>0.05505</v>
      </c>
      <c r="L32" s="19">
        <f>F32*K32</f>
        <v>0.16515000000000002</v>
      </c>
      <c r="M32" s="33" t="s">
        <v>1177</v>
      </c>
      <c r="P32" s="37">
        <f>IF(AG32="5",J32,0)</f>
        <v>0</v>
      </c>
      <c r="R32" s="37">
        <f>IF(AG32="1",H32,0)</f>
        <v>0</v>
      </c>
      <c r="S32" s="37">
        <f>IF(AG32="1",I32,0)</f>
        <v>0</v>
      </c>
      <c r="T32" s="37">
        <f>IF(AG32="7",H32,0)</f>
        <v>0</v>
      </c>
      <c r="U32" s="37">
        <f>IF(AG32="7",I32,0)</f>
        <v>0</v>
      </c>
      <c r="V32" s="37">
        <f>IF(AG32="2",H32,0)</f>
        <v>0</v>
      </c>
      <c r="W32" s="37">
        <f>IF(AG32="2",I32,0)</f>
        <v>0</v>
      </c>
      <c r="X32" s="37">
        <f>IF(AG32="0",J32,0)</f>
        <v>0</v>
      </c>
      <c r="Y32" s="28"/>
      <c r="Z32" s="19">
        <f>IF(AD32=0,J32,0)</f>
        <v>0</v>
      </c>
      <c r="AA32" s="19">
        <f>IF(AD32=15,J32,0)</f>
        <v>0</v>
      </c>
      <c r="AB32" s="19">
        <f>IF(AD32=21,J32,0)</f>
        <v>0</v>
      </c>
      <c r="AD32" s="37">
        <v>21</v>
      </c>
      <c r="AE32" s="37">
        <f>G32*0.845704231652402</f>
        <v>0</v>
      </c>
      <c r="AF32" s="37">
        <f>G32*(1-0.845704231652402)</f>
        <v>0</v>
      </c>
      <c r="AG32" s="33" t="s">
        <v>7</v>
      </c>
      <c r="AM32" s="37">
        <f>F32*AE32</f>
        <v>0</v>
      </c>
      <c r="AN32" s="37">
        <f>F32*AF32</f>
        <v>0</v>
      </c>
      <c r="AO32" s="38" t="s">
        <v>1191</v>
      </c>
      <c r="AP32" s="38" t="s">
        <v>1224</v>
      </c>
      <c r="AQ32" s="28" t="s">
        <v>1234</v>
      </c>
      <c r="AS32" s="37">
        <f>AM32+AN32</f>
        <v>0</v>
      </c>
      <c r="AT32" s="37">
        <f>G32/(100-AU32)*100</f>
        <v>0</v>
      </c>
      <c r="AU32" s="37">
        <v>0</v>
      </c>
      <c r="AV32" s="37">
        <f>L32</f>
        <v>0.16515000000000002</v>
      </c>
    </row>
    <row r="33" ht="12.75">
      <c r="D33" s="16" t="s">
        <v>762</v>
      </c>
    </row>
    <row r="34" spans="1:48" ht="12.75">
      <c r="A34" s="5" t="s">
        <v>21</v>
      </c>
      <c r="B34" s="5"/>
      <c r="C34" s="5" t="s">
        <v>394</v>
      </c>
      <c r="D34" s="5" t="s">
        <v>763</v>
      </c>
      <c r="E34" s="5" t="s">
        <v>1153</v>
      </c>
      <c r="F34" s="19">
        <v>2</v>
      </c>
      <c r="G34" s="19">
        <v>0</v>
      </c>
      <c r="H34" s="19">
        <f>F34*AE34</f>
        <v>0</v>
      </c>
      <c r="I34" s="19">
        <f>J34-H34</f>
        <v>0</v>
      </c>
      <c r="J34" s="19">
        <f>F34*G34</f>
        <v>0</v>
      </c>
      <c r="K34" s="19">
        <v>0.06313</v>
      </c>
      <c r="L34" s="19">
        <f>F34*K34</f>
        <v>0.12626</v>
      </c>
      <c r="M34" s="33" t="s">
        <v>1177</v>
      </c>
      <c r="P34" s="37">
        <f>IF(AG34="5",J34,0)</f>
        <v>0</v>
      </c>
      <c r="R34" s="37">
        <f>IF(AG34="1",H34,0)</f>
        <v>0</v>
      </c>
      <c r="S34" s="37">
        <f>IF(AG34="1",I34,0)</f>
        <v>0</v>
      </c>
      <c r="T34" s="37">
        <f>IF(AG34="7",H34,0)</f>
        <v>0</v>
      </c>
      <c r="U34" s="37">
        <f>IF(AG34="7",I34,0)</f>
        <v>0</v>
      </c>
      <c r="V34" s="37">
        <f>IF(AG34="2",H34,0)</f>
        <v>0</v>
      </c>
      <c r="W34" s="37">
        <f>IF(AG34="2",I34,0)</f>
        <v>0</v>
      </c>
      <c r="X34" s="37">
        <f>IF(AG34="0",J34,0)</f>
        <v>0</v>
      </c>
      <c r="Y34" s="28"/>
      <c r="Z34" s="19">
        <f>IF(AD34=0,J34,0)</f>
        <v>0</v>
      </c>
      <c r="AA34" s="19">
        <f>IF(AD34=15,J34,0)</f>
        <v>0</v>
      </c>
      <c r="AB34" s="19">
        <f>IF(AD34=21,J34,0)</f>
        <v>0</v>
      </c>
      <c r="AD34" s="37">
        <v>21</v>
      </c>
      <c r="AE34" s="37">
        <f>G34*0.835105158611753</f>
        <v>0</v>
      </c>
      <c r="AF34" s="37">
        <f>G34*(1-0.835105158611753)</f>
        <v>0</v>
      </c>
      <c r="AG34" s="33" t="s">
        <v>7</v>
      </c>
      <c r="AM34" s="37">
        <f>F34*AE34</f>
        <v>0</v>
      </c>
      <c r="AN34" s="37">
        <f>F34*AF34</f>
        <v>0</v>
      </c>
      <c r="AO34" s="38" t="s">
        <v>1191</v>
      </c>
      <c r="AP34" s="38" t="s">
        <v>1224</v>
      </c>
      <c r="AQ34" s="28" t="s">
        <v>1234</v>
      </c>
      <c r="AS34" s="37">
        <f>AM34+AN34</f>
        <v>0</v>
      </c>
      <c r="AT34" s="37">
        <f>G34/(100-AU34)*100</f>
        <v>0</v>
      </c>
      <c r="AU34" s="37">
        <v>0</v>
      </c>
      <c r="AV34" s="37">
        <f>L34</f>
        <v>0.12626</v>
      </c>
    </row>
    <row r="35" ht="12.75">
      <c r="D35" s="16" t="s">
        <v>764</v>
      </c>
    </row>
    <row r="36" spans="1:48" ht="12.75">
      <c r="A36" s="5" t="s">
        <v>22</v>
      </c>
      <c r="B36" s="5"/>
      <c r="C36" s="5" t="s">
        <v>395</v>
      </c>
      <c r="D36" s="5" t="s">
        <v>763</v>
      </c>
      <c r="E36" s="5" t="s">
        <v>1153</v>
      </c>
      <c r="F36" s="19">
        <v>6</v>
      </c>
      <c r="G36" s="19">
        <v>0</v>
      </c>
      <c r="H36" s="19">
        <f>F36*AE36</f>
        <v>0</v>
      </c>
      <c r="I36" s="19">
        <f>J36-H36</f>
        <v>0</v>
      </c>
      <c r="J36" s="19">
        <f>F36*G36</f>
        <v>0</v>
      </c>
      <c r="K36" s="19">
        <v>0.07424</v>
      </c>
      <c r="L36" s="19">
        <f>F36*K36</f>
        <v>0.44544</v>
      </c>
      <c r="M36" s="33" t="s">
        <v>1177</v>
      </c>
      <c r="P36" s="37">
        <f>IF(AG36="5",J36,0)</f>
        <v>0</v>
      </c>
      <c r="R36" s="37">
        <f>IF(AG36="1",H36,0)</f>
        <v>0</v>
      </c>
      <c r="S36" s="37">
        <f>IF(AG36="1",I36,0)</f>
        <v>0</v>
      </c>
      <c r="T36" s="37">
        <f>IF(AG36="7",H36,0)</f>
        <v>0</v>
      </c>
      <c r="U36" s="37">
        <f>IF(AG36="7",I36,0)</f>
        <v>0</v>
      </c>
      <c r="V36" s="37">
        <f>IF(AG36="2",H36,0)</f>
        <v>0</v>
      </c>
      <c r="W36" s="37">
        <f>IF(AG36="2",I36,0)</f>
        <v>0</v>
      </c>
      <c r="X36" s="37">
        <f>IF(AG36="0",J36,0)</f>
        <v>0</v>
      </c>
      <c r="Y36" s="28"/>
      <c r="Z36" s="19">
        <f>IF(AD36=0,J36,0)</f>
        <v>0</v>
      </c>
      <c r="AA36" s="19">
        <f>IF(AD36=15,J36,0)</f>
        <v>0</v>
      </c>
      <c r="AB36" s="19">
        <f>IF(AD36=21,J36,0)</f>
        <v>0</v>
      </c>
      <c r="AD36" s="37">
        <v>21</v>
      </c>
      <c r="AE36" s="37">
        <f>G36*0.855331752668307</f>
        <v>0</v>
      </c>
      <c r="AF36" s="37">
        <f>G36*(1-0.855331752668307)</f>
        <v>0</v>
      </c>
      <c r="AG36" s="33" t="s">
        <v>7</v>
      </c>
      <c r="AM36" s="37">
        <f>F36*AE36</f>
        <v>0</v>
      </c>
      <c r="AN36" s="37">
        <f>F36*AF36</f>
        <v>0</v>
      </c>
      <c r="AO36" s="38" t="s">
        <v>1191</v>
      </c>
      <c r="AP36" s="38" t="s">
        <v>1224</v>
      </c>
      <c r="AQ36" s="28" t="s">
        <v>1234</v>
      </c>
      <c r="AS36" s="37">
        <f>AM36+AN36</f>
        <v>0</v>
      </c>
      <c r="AT36" s="37">
        <f>G36/(100-AU36)*100</f>
        <v>0</v>
      </c>
      <c r="AU36" s="37">
        <v>0</v>
      </c>
      <c r="AV36" s="37">
        <f>L36</f>
        <v>0.44544</v>
      </c>
    </row>
    <row r="37" ht="12.75">
      <c r="D37" s="16" t="s">
        <v>765</v>
      </c>
    </row>
    <row r="38" spans="1:48" ht="12.75">
      <c r="A38" s="5" t="s">
        <v>23</v>
      </c>
      <c r="B38" s="5"/>
      <c r="C38" s="5" t="s">
        <v>396</v>
      </c>
      <c r="D38" s="5" t="s">
        <v>766</v>
      </c>
      <c r="E38" s="5" t="s">
        <v>1152</v>
      </c>
      <c r="F38" s="19">
        <v>0.36156</v>
      </c>
      <c r="G38" s="19">
        <v>0</v>
      </c>
      <c r="H38" s="19">
        <f>F38*AE38</f>
        <v>0</v>
      </c>
      <c r="I38" s="19">
        <f>J38-H38</f>
        <v>0</v>
      </c>
      <c r="J38" s="19">
        <f>F38*G38</f>
        <v>0</v>
      </c>
      <c r="K38" s="19">
        <v>1.09709</v>
      </c>
      <c r="L38" s="19">
        <f>F38*K38</f>
        <v>0.39666386039999996</v>
      </c>
      <c r="M38" s="33" t="s">
        <v>1177</v>
      </c>
      <c r="P38" s="37">
        <f>IF(AG38="5",J38,0)</f>
        <v>0</v>
      </c>
      <c r="R38" s="37">
        <f>IF(AG38="1",H38,0)</f>
        <v>0</v>
      </c>
      <c r="S38" s="37">
        <f>IF(AG38="1",I38,0)</f>
        <v>0</v>
      </c>
      <c r="T38" s="37">
        <f>IF(AG38="7",H38,0)</f>
        <v>0</v>
      </c>
      <c r="U38" s="37">
        <f>IF(AG38="7",I38,0)</f>
        <v>0</v>
      </c>
      <c r="V38" s="37">
        <f>IF(AG38="2",H38,0)</f>
        <v>0</v>
      </c>
      <c r="W38" s="37">
        <f>IF(AG38="2",I38,0)</f>
        <v>0</v>
      </c>
      <c r="X38" s="37">
        <f>IF(AG38="0",J38,0)</f>
        <v>0</v>
      </c>
      <c r="Y38" s="28"/>
      <c r="Z38" s="19">
        <f>IF(AD38=0,J38,0)</f>
        <v>0</v>
      </c>
      <c r="AA38" s="19">
        <f>IF(AD38=15,J38,0)</f>
        <v>0</v>
      </c>
      <c r="AB38" s="19">
        <f>IF(AD38=21,J38,0)</f>
        <v>0</v>
      </c>
      <c r="AD38" s="37">
        <v>21</v>
      </c>
      <c r="AE38" s="37">
        <f>G38*0.686365184908057</f>
        <v>0</v>
      </c>
      <c r="AF38" s="37">
        <f>G38*(1-0.686365184908057)</f>
        <v>0</v>
      </c>
      <c r="AG38" s="33" t="s">
        <v>7</v>
      </c>
      <c r="AM38" s="37">
        <f>F38*AE38</f>
        <v>0</v>
      </c>
      <c r="AN38" s="37">
        <f>F38*AF38</f>
        <v>0</v>
      </c>
      <c r="AO38" s="38" t="s">
        <v>1191</v>
      </c>
      <c r="AP38" s="38" t="s">
        <v>1224</v>
      </c>
      <c r="AQ38" s="28" t="s">
        <v>1234</v>
      </c>
      <c r="AS38" s="37">
        <f>AM38+AN38</f>
        <v>0</v>
      </c>
      <c r="AT38" s="37">
        <f>G38/(100-AU38)*100</f>
        <v>0</v>
      </c>
      <c r="AU38" s="37">
        <v>0</v>
      </c>
      <c r="AV38" s="37">
        <f>L38</f>
        <v>0.39666386039999996</v>
      </c>
    </row>
    <row r="39" ht="12.75">
      <c r="D39" s="16" t="s">
        <v>767</v>
      </c>
    </row>
    <row r="40" spans="1:37" ht="12.75">
      <c r="A40" s="6"/>
      <c r="B40" s="14"/>
      <c r="C40" s="14" t="s">
        <v>40</v>
      </c>
      <c r="D40" s="14" t="s">
        <v>768</v>
      </c>
      <c r="E40" s="6" t="s">
        <v>6</v>
      </c>
      <c r="F40" s="6" t="s">
        <v>6</v>
      </c>
      <c r="G40" s="6" t="s">
        <v>6</v>
      </c>
      <c r="H40" s="40">
        <f>SUM(H41:H43)</f>
        <v>0</v>
      </c>
      <c r="I40" s="40">
        <f>SUM(I41:I43)</f>
        <v>0</v>
      </c>
      <c r="J40" s="40">
        <f>H40+I40</f>
        <v>0</v>
      </c>
      <c r="K40" s="28"/>
      <c r="L40" s="40">
        <f>SUM(L41:L43)</f>
        <v>4.808529642</v>
      </c>
      <c r="M40" s="28"/>
      <c r="Y40" s="28"/>
      <c r="AI40" s="40">
        <f>SUM(Z41:Z43)</f>
        <v>0</v>
      </c>
      <c r="AJ40" s="40">
        <f>SUM(AA41:AA43)</f>
        <v>0</v>
      </c>
      <c r="AK40" s="40">
        <f>SUM(AB41:AB43)</f>
        <v>0</v>
      </c>
    </row>
    <row r="41" spans="1:48" ht="12.75">
      <c r="A41" s="5" t="s">
        <v>24</v>
      </c>
      <c r="B41" s="5"/>
      <c r="C41" s="5" t="s">
        <v>397</v>
      </c>
      <c r="D41" s="5" t="s">
        <v>769</v>
      </c>
      <c r="E41" s="5" t="s">
        <v>1151</v>
      </c>
      <c r="F41" s="19">
        <v>26.3102</v>
      </c>
      <c r="G41" s="19">
        <v>0</v>
      </c>
      <c r="H41" s="19">
        <f>F41*AE41</f>
        <v>0</v>
      </c>
      <c r="I41" s="19">
        <f>J41-H41</f>
        <v>0</v>
      </c>
      <c r="J41" s="19">
        <f>F41*G41</f>
        <v>0</v>
      </c>
      <c r="K41" s="19">
        <v>0.07471</v>
      </c>
      <c r="L41" s="19">
        <f>F41*K41</f>
        <v>1.965635042</v>
      </c>
      <c r="M41" s="33" t="s">
        <v>1177</v>
      </c>
      <c r="P41" s="37">
        <f>IF(AG41="5",J41,0)</f>
        <v>0</v>
      </c>
      <c r="R41" s="37">
        <f>IF(AG41="1",H41,0)</f>
        <v>0</v>
      </c>
      <c r="S41" s="37">
        <f>IF(AG41="1",I41,0)</f>
        <v>0</v>
      </c>
      <c r="T41" s="37">
        <f>IF(AG41="7",H41,0)</f>
        <v>0</v>
      </c>
      <c r="U41" s="37">
        <f>IF(AG41="7",I41,0)</f>
        <v>0</v>
      </c>
      <c r="V41" s="37">
        <f>IF(AG41="2",H41,0)</f>
        <v>0</v>
      </c>
      <c r="W41" s="37">
        <f>IF(AG41="2",I41,0)</f>
        <v>0</v>
      </c>
      <c r="X41" s="37">
        <f>IF(AG41="0",J41,0)</f>
        <v>0</v>
      </c>
      <c r="Y41" s="28"/>
      <c r="Z41" s="19">
        <f>IF(AD41=0,J41,0)</f>
        <v>0</v>
      </c>
      <c r="AA41" s="19">
        <f>IF(AD41=15,J41,0)</f>
        <v>0</v>
      </c>
      <c r="AB41" s="19">
        <f>IF(AD41=21,J41,0)</f>
        <v>0</v>
      </c>
      <c r="AD41" s="37">
        <v>21</v>
      </c>
      <c r="AE41" s="37">
        <f>G41*0.6317108075123</f>
        <v>0</v>
      </c>
      <c r="AF41" s="37">
        <f>G41*(1-0.6317108075123)</f>
        <v>0</v>
      </c>
      <c r="AG41" s="33" t="s">
        <v>7</v>
      </c>
      <c r="AM41" s="37">
        <f>F41*AE41</f>
        <v>0</v>
      </c>
      <c r="AN41" s="37">
        <f>F41*AF41</f>
        <v>0</v>
      </c>
      <c r="AO41" s="38" t="s">
        <v>1192</v>
      </c>
      <c r="AP41" s="38" t="s">
        <v>1224</v>
      </c>
      <c r="AQ41" s="28" t="s">
        <v>1234</v>
      </c>
      <c r="AS41" s="37">
        <f>AM41+AN41</f>
        <v>0</v>
      </c>
      <c r="AT41" s="37">
        <f>G41/(100-AU41)*100</f>
        <v>0</v>
      </c>
      <c r="AU41" s="37">
        <v>0</v>
      </c>
      <c r="AV41" s="37">
        <f>L41</f>
        <v>1.965635042</v>
      </c>
    </row>
    <row r="42" spans="1:48" ht="12.75">
      <c r="A42" s="5" t="s">
        <v>25</v>
      </c>
      <c r="B42" s="5"/>
      <c r="C42" s="5" t="s">
        <v>398</v>
      </c>
      <c r="D42" s="5" t="s">
        <v>770</v>
      </c>
      <c r="E42" s="5" t="s">
        <v>1151</v>
      </c>
      <c r="F42" s="19">
        <v>9.68</v>
      </c>
      <c r="G42" s="19">
        <v>0</v>
      </c>
      <c r="H42" s="19">
        <f>F42*AE42</f>
        <v>0</v>
      </c>
      <c r="I42" s="19">
        <f>J42-H42</f>
        <v>0</v>
      </c>
      <c r="J42" s="19">
        <f>F42*G42</f>
        <v>0</v>
      </c>
      <c r="K42" s="19">
        <v>0.11219</v>
      </c>
      <c r="L42" s="19">
        <f>F42*K42</f>
        <v>1.0859992</v>
      </c>
      <c r="M42" s="33" t="s">
        <v>1177</v>
      </c>
      <c r="P42" s="37">
        <f>IF(AG42="5",J42,0)</f>
        <v>0</v>
      </c>
      <c r="R42" s="37">
        <f>IF(AG42="1",H42,0)</f>
        <v>0</v>
      </c>
      <c r="S42" s="37">
        <f>IF(AG42="1",I42,0)</f>
        <v>0</v>
      </c>
      <c r="T42" s="37">
        <f>IF(AG42="7",H42,0)</f>
        <v>0</v>
      </c>
      <c r="U42" s="37">
        <f>IF(AG42="7",I42,0)</f>
        <v>0</v>
      </c>
      <c r="V42" s="37">
        <f>IF(AG42="2",H42,0)</f>
        <v>0</v>
      </c>
      <c r="W42" s="37">
        <f>IF(AG42="2",I42,0)</f>
        <v>0</v>
      </c>
      <c r="X42" s="37">
        <f>IF(AG42="0",J42,0)</f>
        <v>0</v>
      </c>
      <c r="Y42" s="28"/>
      <c r="Z42" s="19">
        <f>IF(AD42=0,J42,0)</f>
        <v>0</v>
      </c>
      <c r="AA42" s="19">
        <f>IF(AD42=15,J42,0)</f>
        <v>0</v>
      </c>
      <c r="AB42" s="19">
        <f>IF(AD42=21,J42,0)</f>
        <v>0</v>
      </c>
      <c r="AD42" s="37">
        <v>21</v>
      </c>
      <c r="AE42" s="37">
        <f>G42*0.703158608578269</f>
        <v>0</v>
      </c>
      <c r="AF42" s="37">
        <f>G42*(1-0.703158608578269)</f>
        <v>0</v>
      </c>
      <c r="AG42" s="33" t="s">
        <v>7</v>
      </c>
      <c r="AM42" s="37">
        <f>F42*AE42</f>
        <v>0</v>
      </c>
      <c r="AN42" s="37">
        <f>F42*AF42</f>
        <v>0</v>
      </c>
      <c r="AO42" s="38" t="s">
        <v>1192</v>
      </c>
      <c r="AP42" s="38" t="s">
        <v>1224</v>
      </c>
      <c r="AQ42" s="28" t="s">
        <v>1234</v>
      </c>
      <c r="AS42" s="37">
        <f>AM42+AN42</f>
        <v>0</v>
      </c>
      <c r="AT42" s="37">
        <f>G42/(100-AU42)*100</f>
        <v>0</v>
      </c>
      <c r="AU42" s="37">
        <v>0</v>
      </c>
      <c r="AV42" s="37">
        <f>L42</f>
        <v>1.0859992</v>
      </c>
    </row>
    <row r="43" spans="1:48" ht="12.75">
      <c r="A43" s="5" t="s">
        <v>26</v>
      </c>
      <c r="B43" s="5"/>
      <c r="C43" s="5" t="s">
        <v>399</v>
      </c>
      <c r="D43" s="5" t="s">
        <v>771</v>
      </c>
      <c r="E43" s="5" t="s">
        <v>1151</v>
      </c>
      <c r="F43" s="19">
        <v>15.66</v>
      </c>
      <c r="G43" s="19">
        <v>0</v>
      </c>
      <c r="H43" s="19">
        <f>F43*AE43</f>
        <v>0</v>
      </c>
      <c r="I43" s="19">
        <f>J43-H43</f>
        <v>0</v>
      </c>
      <c r="J43" s="19">
        <f>F43*G43</f>
        <v>0</v>
      </c>
      <c r="K43" s="19">
        <v>0.11219</v>
      </c>
      <c r="L43" s="19">
        <f>F43*K43</f>
        <v>1.7568953999999999</v>
      </c>
      <c r="M43" s="33" t="s">
        <v>1177</v>
      </c>
      <c r="P43" s="37">
        <f>IF(AG43="5",J43,0)</f>
        <v>0</v>
      </c>
      <c r="R43" s="37">
        <f>IF(AG43="1",H43,0)</f>
        <v>0</v>
      </c>
      <c r="S43" s="37">
        <f>IF(AG43="1",I43,0)</f>
        <v>0</v>
      </c>
      <c r="T43" s="37">
        <f>IF(AG43="7",H43,0)</f>
        <v>0</v>
      </c>
      <c r="U43" s="37">
        <f>IF(AG43="7",I43,0)</f>
        <v>0</v>
      </c>
      <c r="V43" s="37">
        <f>IF(AG43="2",H43,0)</f>
        <v>0</v>
      </c>
      <c r="W43" s="37">
        <f>IF(AG43="2",I43,0)</f>
        <v>0</v>
      </c>
      <c r="X43" s="37">
        <f>IF(AG43="0",J43,0)</f>
        <v>0</v>
      </c>
      <c r="Y43" s="28"/>
      <c r="Z43" s="19">
        <f>IF(AD43=0,J43,0)</f>
        <v>0</v>
      </c>
      <c r="AA43" s="19">
        <f>IF(AD43=15,J43,0)</f>
        <v>0</v>
      </c>
      <c r="AB43" s="19">
        <f>IF(AD43=21,J43,0)</f>
        <v>0</v>
      </c>
      <c r="AD43" s="37">
        <v>21</v>
      </c>
      <c r="AE43" s="37">
        <f>G43*0.703158661722092</f>
        <v>0</v>
      </c>
      <c r="AF43" s="37">
        <f>G43*(1-0.703158661722092)</f>
        <v>0</v>
      </c>
      <c r="AG43" s="33" t="s">
        <v>7</v>
      </c>
      <c r="AM43" s="37">
        <f>F43*AE43</f>
        <v>0</v>
      </c>
      <c r="AN43" s="37">
        <f>F43*AF43</f>
        <v>0</v>
      </c>
      <c r="AO43" s="38" t="s">
        <v>1192</v>
      </c>
      <c r="AP43" s="38" t="s">
        <v>1224</v>
      </c>
      <c r="AQ43" s="28" t="s">
        <v>1234</v>
      </c>
      <c r="AS43" s="37">
        <f>AM43+AN43</f>
        <v>0</v>
      </c>
      <c r="AT43" s="37">
        <f>G43/(100-AU43)*100</f>
        <v>0</v>
      </c>
      <c r="AU43" s="37">
        <v>0</v>
      </c>
      <c r="AV43" s="37">
        <f>L43</f>
        <v>1.7568953999999999</v>
      </c>
    </row>
    <row r="44" spans="1:37" ht="12.75">
      <c r="A44" s="6"/>
      <c r="B44" s="14"/>
      <c r="C44" s="14" t="s">
        <v>47</v>
      </c>
      <c r="D44" s="14" t="s">
        <v>772</v>
      </c>
      <c r="E44" s="6" t="s">
        <v>6</v>
      </c>
      <c r="F44" s="6" t="s">
        <v>6</v>
      </c>
      <c r="G44" s="6" t="s">
        <v>6</v>
      </c>
      <c r="H44" s="40">
        <f>SUM(H45:H50)</f>
        <v>0</v>
      </c>
      <c r="I44" s="40">
        <f>SUM(I45:I50)</f>
        <v>0</v>
      </c>
      <c r="J44" s="40">
        <f>H44+I44</f>
        <v>0</v>
      </c>
      <c r="K44" s="28"/>
      <c r="L44" s="40">
        <f>SUM(L45:L50)</f>
        <v>5.650542124000001</v>
      </c>
      <c r="M44" s="28"/>
      <c r="Y44" s="28"/>
      <c r="AI44" s="40">
        <f>SUM(Z45:Z50)</f>
        <v>0</v>
      </c>
      <c r="AJ44" s="40">
        <f>SUM(AA45:AA50)</f>
        <v>0</v>
      </c>
      <c r="AK44" s="40">
        <f>SUM(AB45:AB50)</f>
        <v>0</v>
      </c>
    </row>
    <row r="45" spans="1:48" ht="12.75">
      <c r="A45" s="5" t="s">
        <v>27</v>
      </c>
      <c r="B45" s="5"/>
      <c r="C45" s="5" t="s">
        <v>400</v>
      </c>
      <c r="D45" s="5" t="s">
        <v>773</v>
      </c>
      <c r="E45" s="5" t="s">
        <v>1151</v>
      </c>
      <c r="F45" s="19">
        <v>42.834</v>
      </c>
      <c r="G45" s="19">
        <v>0</v>
      </c>
      <c r="H45" s="19">
        <f>F45*AE45</f>
        <v>0</v>
      </c>
      <c r="I45" s="19">
        <f>J45-H45</f>
        <v>0</v>
      </c>
      <c r="J45" s="19">
        <f>F45*G45</f>
        <v>0</v>
      </c>
      <c r="K45" s="19">
        <v>0.01323</v>
      </c>
      <c r="L45" s="19">
        <f>F45*K45</f>
        <v>0.56669382</v>
      </c>
      <c r="M45" s="33" t="s">
        <v>1177</v>
      </c>
      <c r="P45" s="37">
        <f>IF(AG45="5",J45,0)</f>
        <v>0</v>
      </c>
      <c r="R45" s="37">
        <f>IF(AG45="1",H45,0)</f>
        <v>0</v>
      </c>
      <c r="S45" s="37">
        <f>IF(AG45="1",I45,0)</f>
        <v>0</v>
      </c>
      <c r="T45" s="37">
        <f>IF(AG45="7",H45,0)</f>
        <v>0</v>
      </c>
      <c r="U45" s="37">
        <f>IF(AG45="7",I45,0)</f>
        <v>0</v>
      </c>
      <c r="V45" s="37">
        <f>IF(AG45="2",H45,0)</f>
        <v>0</v>
      </c>
      <c r="W45" s="37">
        <f>IF(AG45="2",I45,0)</f>
        <v>0</v>
      </c>
      <c r="X45" s="37">
        <f>IF(AG45="0",J45,0)</f>
        <v>0</v>
      </c>
      <c r="Y45" s="28"/>
      <c r="Z45" s="19">
        <f>IF(AD45=0,J45,0)</f>
        <v>0</v>
      </c>
      <c r="AA45" s="19">
        <f>IF(AD45=15,J45,0)</f>
        <v>0</v>
      </c>
      <c r="AB45" s="19">
        <f>IF(AD45=21,J45,0)</f>
        <v>0</v>
      </c>
      <c r="AD45" s="37">
        <v>21</v>
      </c>
      <c r="AE45" s="37">
        <f>G45*0.360477617456954</f>
        <v>0</v>
      </c>
      <c r="AF45" s="37">
        <f>G45*(1-0.360477617456954)</f>
        <v>0</v>
      </c>
      <c r="AG45" s="33" t="s">
        <v>7</v>
      </c>
      <c r="AM45" s="37">
        <f>F45*AE45</f>
        <v>0</v>
      </c>
      <c r="AN45" s="37">
        <f>F45*AF45</f>
        <v>0</v>
      </c>
      <c r="AO45" s="38" t="s">
        <v>1193</v>
      </c>
      <c r="AP45" s="38" t="s">
        <v>1225</v>
      </c>
      <c r="AQ45" s="28" t="s">
        <v>1234</v>
      </c>
      <c r="AS45" s="37">
        <f>AM45+AN45</f>
        <v>0</v>
      </c>
      <c r="AT45" s="37">
        <f>G45/(100-AU45)*100</f>
        <v>0</v>
      </c>
      <c r="AU45" s="37">
        <v>0</v>
      </c>
      <c r="AV45" s="37">
        <f>L45</f>
        <v>0.56669382</v>
      </c>
    </row>
    <row r="46" ht="12.75">
      <c r="D46" s="16" t="s">
        <v>774</v>
      </c>
    </row>
    <row r="47" spans="1:48" ht="12.75">
      <c r="A47" s="5" t="s">
        <v>28</v>
      </c>
      <c r="B47" s="5"/>
      <c r="C47" s="5" t="s">
        <v>401</v>
      </c>
      <c r="D47" s="5" t="s">
        <v>775</v>
      </c>
      <c r="E47" s="5" t="s">
        <v>1150</v>
      </c>
      <c r="F47" s="19">
        <v>1.4126</v>
      </c>
      <c r="G47" s="19">
        <v>0</v>
      </c>
      <c r="H47" s="19">
        <f>F47*AE47</f>
        <v>0</v>
      </c>
      <c r="I47" s="19">
        <f>J47-H47</f>
        <v>0</v>
      </c>
      <c r="J47" s="19">
        <f>F47*G47</f>
        <v>0</v>
      </c>
      <c r="K47" s="19">
        <v>2.52511</v>
      </c>
      <c r="L47" s="19">
        <f>F47*K47</f>
        <v>3.5669703860000004</v>
      </c>
      <c r="M47" s="33" t="s">
        <v>1177</v>
      </c>
      <c r="P47" s="37">
        <f>IF(AG47="5",J47,0)</f>
        <v>0</v>
      </c>
      <c r="R47" s="37">
        <f>IF(AG47="1",H47,0)</f>
        <v>0</v>
      </c>
      <c r="S47" s="37">
        <f>IF(AG47="1",I47,0)</f>
        <v>0</v>
      </c>
      <c r="T47" s="37">
        <f>IF(AG47="7",H47,0)</f>
        <v>0</v>
      </c>
      <c r="U47" s="37">
        <f>IF(AG47="7",I47,0)</f>
        <v>0</v>
      </c>
      <c r="V47" s="37">
        <f>IF(AG47="2",H47,0)</f>
        <v>0</v>
      </c>
      <c r="W47" s="37">
        <f>IF(AG47="2",I47,0)</f>
        <v>0</v>
      </c>
      <c r="X47" s="37">
        <f>IF(AG47="0",J47,0)</f>
        <v>0</v>
      </c>
      <c r="Y47" s="28"/>
      <c r="Z47" s="19">
        <f>IF(AD47=0,J47,0)</f>
        <v>0</v>
      </c>
      <c r="AA47" s="19">
        <f>IF(AD47=15,J47,0)</f>
        <v>0</v>
      </c>
      <c r="AB47" s="19">
        <f>IF(AD47=21,J47,0)</f>
        <v>0</v>
      </c>
      <c r="AD47" s="37">
        <v>21</v>
      </c>
      <c r="AE47" s="37">
        <f>G47*0.807061818181818</f>
        <v>0</v>
      </c>
      <c r="AF47" s="37">
        <f>G47*(1-0.807061818181818)</f>
        <v>0</v>
      </c>
      <c r="AG47" s="33" t="s">
        <v>7</v>
      </c>
      <c r="AM47" s="37">
        <f>F47*AE47</f>
        <v>0</v>
      </c>
      <c r="AN47" s="37">
        <f>F47*AF47</f>
        <v>0</v>
      </c>
      <c r="AO47" s="38" t="s">
        <v>1193</v>
      </c>
      <c r="AP47" s="38" t="s">
        <v>1225</v>
      </c>
      <c r="AQ47" s="28" t="s">
        <v>1234</v>
      </c>
      <c r="AS47" s="37">
        <f>AM47+AN47</f>
        <v>0</v>
      </c>
      <c r="AT47" s="37">
        <f>G47/(100-AU47)*100</f>
        <v>0</v>
      </c>
      <c r="AU47" s="37">
        <v>0</v>
      </c>
      <c r="AV47" s="37">
        <f>L47</f>
        <v>3.5669703860000004</v>
      </c>
    </row>
    <row r="48" spans="1:48" ht="12.75">
      <c r="A48" s="5" t="s">
        <v>29</v>
      </c>
      <c r="B48" s="5"/>
      <c r="C48" s="5" t="s">
        <v>402</v>
      </c>
      <c r="D48" s="5" t="s">
        <v>776</v>
      </c>
      <c r="E48" s="5" t="s">
        <v>1154</v>
      </c>
      <c r="F48" s="19">
        <v>28.252</v>
      </c>
      <c r="G48" s="19">
        <v>0</v>
      </c>
      <c r="H48" s="19">
        <f>F48*AE48</f>
        <v>0</v>
      </c>
      <c r="I48" s="19">
        <f>J48-H48</f>
        <v>0</v>
      </c>
      <c r="J48" s="19">
        <f>F48*G48</f>
        <v>0</v>
      </c>
      <c r="K48" s="19">
        <v>0.05242</v>
      </c>
      <c r="L48" s="19">
        <f>F48*K48</f>
        <v>1.48096984</v>
      </c>
      <c r="M48" s="33" t="s">
        <v>1177</v>
      </c>
      <c r="P48" s="37">
        <f>IF(AG48="5",J48,0)</f>
        <v>0</v>
      </c>
      <c r="R48" s="37">
        <f>IF(AG48="1",H48,0)</f>
        <v>0</v>
      </c>
      <c r="S48" s="37">
        <f>IF(AG48="1",I48,0)</f>
        <v>0</v>
      </c>
      <c r="T48" s="37">
        <f>IF(AG48="7",H48,0)</f>
        <v>0</v>
      </c>
      <c r="U48" s="37">
        <f>IF(AG48="7",I48,0)</f>
        <v>0</v>
      </c>
      <c r="V48" s="37">
        <f>IF(AG48="2",H48,0)</f>
        <v>0</v>
      </c>
      <c r="W48" s="37">
        <f>IF(AG48="2",I48,0)</f>
        <v>0</v>
      </c>
      <c r="X48" s="37">
        <f>IF(AG48="0",J48,0)</f>
        <v>0</v>
      </c>
      <c r="Y48" s="28"/>
      <c r="Z48" s="19">
        <f>IF(AD48=0,J48,0)</f>
        <v>0</v>
      </c>
      <c r="AA48" s="19">
        <f>IF(AD48=15,J48,0)</f>
        <v>0</v>
      </c>
      <c r="AB48" s="19">
        <f>IF(AD48=21,J48,0)</f>
        <v>0</v>
      </c>
      <c r="AD48" s="37">
        <v>21</v>
      </c>
      <c r="AE48" s="37">
        <f>G48*0.296293577981651</f>
        <v>0</v>
      </c>
      <c r="AF48" s="37">
        <f>G48*(1-0.296293577981651)</f>
        <v>0</v>
      </c>
      <c r="AG48" s="33" t="s">
        <v>7</v>
      </c>
      <c r="AM48" s="37">
        <f>F48*AE48</f>
        <v>0</v>
      </c>
      <c r="AN48" s="37">
        <f>F48*AF48</f>
        <v>0</v>
      </c>
      <c r="AO48" s="38" t="s">
        <v>1193</v>
      </c>
      <c r="AP48" s="38" t="s">
        <v>1225</v>
      </c>
      <c r="AQ48" s="28" t="s">
        <v>1234</v>
      </c>
      <c r="AS48" s="37">
        <f>AM48+AN48</f>
        <v>0</v>
      </c>
      <c r="AT48" s="37">
        <f>G48/(100-AU48)*100</f>
        <v>0</v>
      </c>
      <c r="AU48" s="37">
        <v>0</v>
      </c>
      <c r="AV48" s="37">
        <f>L48</f>
        <v>1.48096984</v>
      </c>
    </row>
    <row r="49" spans="1:48" ht="12.75">
      <c r="A49" s="5" t="s">
        <v>30</v>
      </c>
      <c r="B49" s="5"/>
      <c r="C49" s="5" t="s">
        <v>403</v>
      </c>
      <c r="D49" s="5" t="s">
        <v>777</v>
      </c>
      <c r="E49" s="5" t="s">
        <v>1151</v>
      </c>
      <c r="F49" s="19">
        <v>28.252</v>
      </c>
      <c r="G49" s="19">
        <v>0</v>
      </c>
      <c r="H49" s="19">
        <f>F49*AE49</f>
        <v>0</v>
      </c>
      <c r="I49" s="19">
        <f>J49-H49</f>
        <v>0</v>
      </c>
      <c r="J49" s="19">
        <f>F49*G49</f>
        <v>0</v>
      </c>
      <c r="K49" s="19">
        <v>0</v>
      </c>
      <c r="L49" s="19">
        <f>F49*K49</f>
        <v>0</v>
      </c>
      <c r="M49" s="33" t="s">
        <v>1177</v>
      </c>
      <c r="P49" s="37">
        <f>IF(AG49="5",J49,0)</f>
        <v>0</v>
      </c>
      <c r="R49" s="37">
        <f>IF(AG49="1",H49,0)</f>
        <v>0</v>
      </c>
      <c r="S49" s="37">
        <f>IF(AG49="1",I49,0)</f>
        <v>0</v>
      </c>
      <c r="T49" s="37">
        <f>IF(AG49="7",H49,0)</f>
        <v>0</v>
      </c>
      <c r="U49" s="37">
        <f>IF(AG49="7",I49,0)</f>
        <v>0</v>
      </c>
      <c r="V49" s="37">
        <f>IF(AG49="2",H49,0)</f>
        <v>0</v>
      </c>
      <c r="W49" s="37">
        <f>IF(AG49="2",I49,0)</f>
        <v>0</v>
      </c>
      <c r="X49" s="37">
        <f>IF(AG49="0",J49,0)</f>
        <v>0</v>
      </c>
      <c r="Y49" s="28"/>
      <c r="Z49" s="19">
        <f>IF(AD49=0,J49,0)</f>
        <v>0</v>
      </c>
      <c r="AA49" s="19">
        <f>IF(AD49=15,J49,0)</f>
        <v>0</v>
      </c>
      <c r="AB49" s="19">
        <f>IF(AD49=21,J49,0)</f>
        <v>0</v>
      </c>
      <c r="AD49" s="37">
        <v>21</v>
      </c>
      <c r="AE49" s="37">
        <f>G49*0</f>
        <v>0</v>
      </c>
      <c r="AF49" s="37">
        <f>G49*(1-0)</f>
        <v>0</v>
      </c>
      <c r="AG49" s="33" t="s">
        <v>7</v>
      </c>
      <c r="AM49" s="37">
        <f>F49*AE49</f>
        <v>0</v>
      </c>
      <c r="AN49" s="37">
        <f>F49*AF49</f>
        <v>0</v>
      </c>
      <c r="AO49" s="38" t="s">
        <v>1193</v>
      </c>
      <c r="AP49" s="38" t="s">
        <v>1225</v>
      </c>
      <c r="AQ49" s="28" t="s">
        <v>1234</v>
      </c>
      <c r="AS49" s="37">
        <f>AM49+AN49</f>
        <v>0</v>
      </c>
      <c r="AT49" s="37">
        <f>G49/(100-AU49)*100</f>
        <v>0</v>
      </c>
      <c r="AU49" s="37">
        <v>0</v>
      </c>
      <c r="AV49" s="37">
        <f>L49</f>
        <v>0</v>
      </c>
    </row>
    <row r="50" spans="1:48" ht="12.75">
      <c r="A50" s="5" t="s">
        <v>31</v>
      </c>
      <c r="B50" s="5"/>
      <c r="C50" s="5" t="s">
        <v>404</v>
      </c>
      <c r="D50" s="5" t="s">
        <v>778</v>
      </c>
      <c r="E50" s="5" t="s">
        <v>1152</v>
      </c>
      <c r="F50" s="19">
        <v>0.03532</v>
      </c>
      <c r="G50" s="19">
        <v>0</v>
      </c>
      <c r="H50" s="19">
        <f>F50*AE50</f>
        <v>0</v>
      </c>
      <c r="I50" s="19">
        <f>J50-H50</f>
        <v>0</v>
      </c>
      <c r="J50" s="19">
        <f>F50*G50</f>
        <v>0</v>
      </c>
      <c r="K50" s="19">
        <v>1.01665</v>
      </c>
      <c r="L50" s="19">
        <f>F50*K50</f>
        <v>0.035908077999999996</v>
      </c>
      <c r="M50" s="33" t="s">
        <v>1177</v>
      </c>
      <c r="P50" s="37">
        <f>IF(AG50="5",J50,0)</f>
        <v>0</v>
      </c>
      <c r="R50" s="37">
        <f>IF(AG50="1",H50,0)</f>
        <v>0</v>
      </c>
      <c r="S50" s="37">
        <f>IF(AG50="1",I50,0)</f>
        <v>0</v>
      </c>
      <c r="T50" s="37">
        <f>IF(AG50="7",H50,0)</f>
        <v>0</v>
      </c>
      <c r="U50" s="37">
        <f>IF(AG50="7",I50,0)</f>
        <v>0</v>
      </c>
      <c r="V50" s="37">
        <f>IF(AG50="2",H50,0)</f>
        <v>0</v>
      </c>
      <c r="W50" s="37">
        <f>IF(AG50="2",I50,0)</f>
        <v>0</v>
      </c>
      <c r="X50" s="37">
        <f>IF(AG50="0",J50,0)</f>
        <v>0</v>
      </c>
      <c r="Y50" s="28"/>
      <c r="Z50" s="19">
        <f>IF(AD50=0,J50,0)</f>
        <v>0</v>
      </c>
      <c r="AA50" s="19">
        <f>IF(AD50=15,J50,0)</f>
        <v>0</v>
      </c>
      <c r="AB50" s="19">
        <f>IF(AD50=21,J50,0)</f>
        <v>0</v>
      </c>
      <c r="AD50" s="37">
        <v>21</v>
      </c>
      <c r="AE50" s="37">
        <f>G50*0.649660083648675</f>
        <v>0</v>
      </c>
      <c r="AF50" s="37">
        <f>G50*(1-0.649660083648675)</f>
        <v>0</v>
      </c>
      <c r="AG50" s="33" t="s">
        <v>7</v>
      </c>
      <c r="AM50" s="37">
        <f>F50*AE50</f>
        <v>0</v>
      </c>
      <c r="AN50" s="37">
        <f>F50*AF50</f>
        <v>0</v>
      </c>
      <c r="AO50" s="38" t="s">
        <v>1193</v>
      </c>
      <c r="AP50" s="38" t="s">
        <v>1225</v>
      </c>
      <c r="AQ50" s="28" t="s">
        <v>1234</v>
      </c>
      <c r="AS50" s="37">
        <f>AM50+AN50</f>
        <v>0</v>
      </c>
      <c r="AT50" s="37">
        <f>G50/(100-AU50)*100</f>
        <v>0</v>
      </c>
      <c r="AU50" s="37">
        <v>0</v>
      </c>
      <c r="AV50" s="37">
        <f>L50</f>
        <v>0.035908077999999996</v>
      </c>
    </row>
    <row r="51" spans="1:37" ht="12.75">
      <c r="A51" s="6"/>
      <c r="B51" s="14"/>
      <c r="C51" s="14" t="s">
        <v>49</v>
      </c>
      <c r="D51" s="14" t="s">
        <v>779</v>
      </c>
      <c r="E51" s="6" t="s">
        <v>6</v>
      </c>
      <c r="F51" s="6" t="s">
        <v>6</v>
      </c>
      <c r="G51" s="6" t="s">
        <v>6</v>
      </c>
      <c r="H51" s="40">
        <f>SUM(H52:H54)</f>
        <v>0</v>
      </c>
      <c r="I51" s="40">
        <f>SUM(I52:I54)</f>
        <v>0</v>
      </c>
      <c r="J51" s="40">
        <f>H51+I51</f>
        <v>0</v>
      </c>
      <c r="K51" s="28"/>
      <c r="L51" s="40">
        <f>SUM(L52:L54)</f>
        <v>4.7838276</v>
      </c>
      <c r="M51" s="28"/>
      <c r="Y51" s="28"/>
      <c r="AI51" s="40">
        <f>SUM(Z52:Z54)</f>
        <v>0</v>
      </c>
      <c r="AJ51" s="40">
        <f>SUM(AA52:AA54)</f>
        <v>0</v>
      </c>
      <c r="AK51" s="40">
        <f>SUM(AB52:AB54)</f>
        <v>0</v>
      </c>
    </row>
    <row r="52" spans="1:48" ht="12.75">
      <c r="A52" s="5" t="s">
        <v>32</v>
      </c>
      <c r="B52" s="5"/>
      <c r="C52" s="5" t="s">
        <v>405</v>
      </c>
      <c r="D52" s="5" t="s">
        <v>780</v>
      </c>
      <c r="E52" s="5" t="s">
        <v>1154</v>
      </c>
      <c r="F52" s="19">
        <v>12.04</v>
      </c>
      <c r="G52" s="19">
        <v>0</v>
      </c>
      <c r="H52" s="19">
        <f>F52*AE52</f>
        <v>0</v>
      </c>
      <c r="I52" s="19">
        <f>J52-H52</f>
        <v>0</v>
      </c>
      <c r="J52" s="19">
        <f>F52*G52</f>
        <v>0</v>
      </c>
      <c r="K52" s="19">
        <v>0.11369</v>
      </c>
      <c r="L52" s="19">
        <f>F52*K52</f>
        <v>1.3688276</v>
      </c>
      <c r="M52" s="33" t="s">
        <v>1177</v>
      </c>
      <c r="P52" s="37">
        <f>IF(AG52="5",J52,0)</f>
        <v>0</v>
      </c>
      <c r="R52" s="37">
        <f>IF(AG52="1",H52,0)</f>
        <v>0</v>
      </c>
      <c r="S52" s="37">
        <f>IF(AG52="1",I52,0)</f>
        <v>0</v>
      </c>
      <c r="T52" s="37">
        <f>IF(AG52="7",H52,0)</f>
        <v>0</v>
      </c>
      <c r="U52" s="37">
        <f>IF(AG52="7",I52,0)</f>
        <v>0</v>
      </c>
      <c r="V52" s="37">
        <f>IF(AG52="2",H52,0)</f>
        <v>0</v>
      </c>
      <c r="W52" s="37">
        <f>IF(AG52="2",I52,0)</f>
        <v>0</v>
      </c>
      <c r="X52" s="37">
        <f>IF(AG52="0",J52,0)</f>
        <v>0</v>
      </c>
      <c r="Y52" s="28"/>
      <c r="Z52" s="19">
        <f>IF(AD52=0,J52,0)</f>
        <v>0</v>
      </c>
      <c r="AA52" s="19">
        <f>IF(AD52=15,J52,0)</f>
        <v>0</v>
      </c>
      <c r="AB52" s="19">
        <f>IF(AD52=21,J52,0)</f>
        <v>0</v>
      </c>
      <c r="AD52" s="37">
        <v>21</v>
      </c>
      <c r="AE52" s="37">
        <f>G52*0.335148698884758</f>
        <v>0</v>
      </c>
      <c r="AF52" s="37">
        <f>G52*(1-0.335148698884758)</f>
        <v>0</v>
      </c>
      <c r="AG52" s="33" t="s">
        <v>7</v>
      </c>
      <c r="AM52" s="37">
        <f>F52*AE52</f>
        <v>0</v>
      </c>
      <c r="AN52" s="37">
        <f>F52*AF52</f>
        <v>0</v>
      </c>
      <c r="AO52" s="38" t="s">
        <v>1194</v>
      </c>
      <c r="AP52" s="38" t="s">
        <v>1225</v>
      </c>
      <c r="AQ52" s="28" t="s">
        <v>1234</v>
      </c>
      <c r="AS52" s="37">
        <f>AM52+AN52</f>
        <v>0</v>
      </c>
      <c r="AT52" s="37">
        <f>G52/(100-AU52)*100</f>
        <v>0</v>
      </c>
      <c r="AU52" s="37">
        <v>0</v>
      </c>
      <c r="AV52" s="37">
        <f>L52</f>
        <v>1.3688276</v>
      </c>
    </row>
    <row r="53" ht="12.75">
      <c r="D53" s="16" t="s">
        <v>781</v>
      </c>
    </row>
    <row r="54" spans="1:48" ht="12.75">
      <c r="A54" s="5" t="s">
        <v>33</v>
      </c>
      <c r="B54" s="5"/>
      <c r="C54" s="5" t="s">
        <v>406</v>
      </c>
      <c r="D54" s="5" t="s">
        <v>782</v>
      </c>
      <c r="E54" s="5" t="s">
        <v>1151</v>
      </c>
      <c r="F54" s="19">
        <v>5</v>
      </c>
      <c r="G54" s="19">
        <v>0</v>
      </c>
      <c r="H54" s="19">
        <f>F54*AE54</f>
        <v>0</v>
      </c>
      <c r="I54" s="19">
        <f>J54-H54</f>
        <v>0</v>
      </c>
      <c r="J54" s="19">
        <f>F54*G54</f>
        <v>0</v>
      </c>
      <c r="K54" s="19">
        <v>0.683</v>
      </c>
      <c r="L54" s="19">
        <f>F54*K54</f>
        <v>3.415</v>
      </c>
      <c r="M54" s="33" t="s">
        <v>1177</v>
      </c>
      <c r="P54" s="37">
        <f>IF(AG54="5",J54,0)</f>
        <v>0</v>
      </c>
      <c r="R54" s="37">
        <f>IF(AG54="1",H54,0)</f>
        <v>0</v>
      </c>
      <c r="S54" s="37">
        <f>IF(AG54="1",I54,0)</f>
        <v>0</v>
      </c>
      <c r="T54" s="37">
        <f>IF(AG54="7",H54,0)</f>
        <v>0</v>
      </c>
      <c r="U54" s="37">
        <f>IF(AG54="7",I54,0)</f>
        <v>0</v>
      </c>
      <c r="V54" s="37">
        <f>IF(AG54="2",H54,0)</f>
        <v>0</v>
      </c>
      <c r="W54" s="37">
        <f>IF(AG54="2",I54,0)</f>
        <v>0</v>
      </c>
      <c r="X54" s="37">
        <f>IF(AG54="0",J54,0)</f>
        <v>0</v>
      </c>
      <c r="Y54" s="28"/>
      <c r="Z54" s="19">
        <f>IF(AD54=0,J54,0)</f>
        <v>0</v>
      </c>
      <c r="AA54" s="19">
        <f>IF(AD54=15,J54,0)</f>
        <v>0</v>
      </c>
      <c r="AB54" s="19">
        <f>IF(AD54=21,J54,0)</f>
        <v>0</v>
      </c>
      <c r="AD54" s="37">
        <v>21</v>
      </c>
      <c r="AE54" s="37">
        <f>G54*0.624735849056604</f>
        <v>0</v>
      </c>
      <c r="AF54" s="37">
        <f>G54*(1-0.624735849056604)</f>
        <v>0</v>
      </c>
      <c r="AG54" s="33" t="s">
        <v>7</v>
      </c>
      <c r="AM54" s="37">
        <f>F54*AE54</f>
        <v>0</v>
      </c>
      <c r="AN54" s="37">
        <f>F54*AF54</f>
        <v>0</v>
      </c>
      <c r="AO54" s="38" t="s">
        <v>1194</v>
      </c>
      <c r="AP54" s="38" t="s">
        <v>1225</v>
      </c>
      <c r="AQ54" s="28" t="s">
        <v>1234</v>
      </c>
      <c r="AS54" s="37">
        <f>AM54+AN54</f>
        <v>0</v>
      </c>
      <c r="AT54" s="37">
        <f>G54/(100-AU54)*100</f>
        <v>0</v>
      </c>
      <c r="AU54" s="37">
        <v>0</v>
      </c>
      <c r="AV54" s="37">
        <f>L54</f>
        <v>3.415</v>
      </c>
    </row>
    <row r="55" spans="1:37" ht="12.75">
      <c r="A55" s="6"/>
      <c r="B55" s="14"/>
      <c r="C55" s="14" t="s">
        <v>52</v>
      </c>
      <c r="D55" s="14" t="s">
        <v>783</v>
      </c>
      <c r="E55" s="6" t="s">
        <v>6</v>
      </c>
      <c r="F55" s="6" t="s">
        <v>6</v>
      </c>
      <c r="G55" s="6" t="s">
        <v>6</v>
      </c>
      <c r="H55" s="40">
        <f>SUM(H56:H56)</f>
        <v>0</v>
      </c>
      <c r="I55" s="40">
        <f>SUM(I56:I56)</f>
        <v>0</v>
      </c>
      <c r="J55" s="40">
        <f>H55+I55</f>
        <v>0</v>
      </c>
      <c r="K55" s="28"/>
      <c r="L55" s="40">
        <f>SUM(L56:L56)</f>
        <v>11.58427984</v>
      </c>
      <c r="M55" s="28"/>
      <c r="Y55" s="28"/>
      <c r="AI55" s="40">
        <f>SUM(Z56:Z56)</f>
        <v>0</v>
      </c>
      <c r="AJ55" s="40">
        <f>SUM(AA56:AA56)</f>
        <v>0</v>
      </c>
      <c r="AK55" s="40">
        <f>SUM(AB56:AB56)</f>
        <v>0</v>
      </c>
    </row>
    <row r="56" spans="1:48" ht="12.75">
      <c r="A56" s="5" t="s">
        <v>34</v>
      </c>
      <c r="B56" s="5"/>
      <c r="C56" s="5" t="s">
        <v>407</v>
      </c>
      <c r="D56" s="5" t="s">
        <v>784</v>
      </c>
      <c r="E56" s="5" t="s">
        <v>1151</v>
      </c>
      <c r="F56" s="19">
        <v>11.312</v>
      </c>
      <c r="G56" s="19">
        <v>0</v>
      </c>
      <c r="H56" s="19">
        <f>F56*AE56</f>
        <v>0</v>
      </c>
      <c r="I56" s="19">
        <f>J56-H56</f>
        <v>0</v>
      </c>
      <c r="J56" s="19">
        <f>F56*G56</f>
        <v>0</v>
      </c>
      <c r="K56" s="19">
        <v>1.02407</v>
      </c>
      <c r="L56" s="19">
        <f>F56*K56</f>
        <v>11.58427984</v>
      </c>
      <c r="M56" s="33" t="s">
        <v>1177</v>
      </c>
      <c r="P56" s="37">
        <f>IF(AG56="5",J56,0)</f>
        <v>0</v>
      </c>
      <c r="R56" s="37">
        <f>IF(AG56="1",H56,0)</f>
        <v>0</v>
      </c>
      <c r="S56" s="37">
        <f>IF(AG56="1",I56,0)</f>
        <v>0</v>
      </c>
      <c r="T56" s="37">
        <f>IF(AG56="7",H56,0)</f>
        <v>0</v>
      </c>
      <c r="U56" s="37">
        <f>IF(AG56="7",I56,0)</f>
        <v>0</v>
      </c>
      <c r="V56" s="37">
        <f>IF(AG56="2",H56,0)</f>
        <v>0</v>
      </c>
      <c r="W56" s="37">
        <f>IF(AG56="2",I56,0)</f>
        <v>0</v>
      </c>
      <c r="X56" s="37">
        <f>IF(AG56="0",J56,0)</f>
        <v>0</v>
      </c>
      <c r="Y56" s="28"/>
      <c r="Z56" s="19">
        <f>IF(AD56=0,J56,0)</f>
        <v>0</v>
      </c>
      <c r="AA56" s="19">
        <f>IF(AD56=15,J56,0)</f>
        <v>0</v>
      </c>
      <c r="AB56" s="19">
        <f>IF(AD56=21,J56,0)</f>
        <v>0</v>
      </c>
      <c r="AD56" s="37">
        <v>21</v>
      </c>
      <c r="AE56" s="37">
        <f>G56*0.575305005139471</f>
        <v>0</v>
      </c>
      <c r="AF56" s="37">
        <f>G56*(1-0.575305005139471)</f>
        <v>0</v>
      </c>
      <c r="AG56" s="33" t="s">
        <v>7</v>
      </c>
      <c r="AM56" s="37">
        <f>F56*AE56</f>
        <v>0</v>
      </c>
      <c r="AN56" s="37">
        <f>F56*AF56</f>
        <v>0</v>
      </c>
      <c r="AO56" s="38" t="s">
        <v>1195</v>
      </c>
      <c r="AP56" s="38" t="s">
        <v>1225</v>
      </c>
      <c r="AQ56" s="28" t="s">
        <v>1234</v>
      </c>
      <c r="AS56" s="37">
        <f>AM56+AN56</f>
        <v>0</v>
      </c>
      <c r="AT56" s="37">
        <f>G56/(100-AU56)*100</f>
        <v>0</v>
      </c>
      <c r="AU56" s="37">
        <v>0</v>
      </c>
      <c r="AV56" s="37">
        <f>L56</f>
        <v>11.58427984</v>
      </c>
    </row>
    <row r="57" spans="1:37" ht="12.75">
      <c r="A57" s="6"/>
      <c r="B57" s="14"/>
      <c r="C57" s="14" t="s">
        <v>66</v>
      </c>
      <c r="D57" s="14" t="s">
        <v>785</v>
      </c>
      <c r="E57" s="6" t="s">
        <v>6</v>
      </c>
      <c r="F57" s="6" t="s">
        <v>6</v>
      </c>
      <c r="G57" s="6" t="s">
        <v>6</v>
      </c>
      <c r="H57" s="40">
        <f>SUM(H58:H58)</f>
        <v>0</v>
      </c>
      <c r="I57" s="40">
        <f>SUM(I58:I58)</f>
        <v>0</v>
      </c>
      <c r="J57" s="40">
        <f>H57+I57</f>
        <v>0</v>
      </c>
      <c r="K57" s="28"/>
      <c r="L57" s="40">
        <f>SUM(L58:L58)</f>
        <v>0.27303024000000004</v>
      </c>
      <c r="M57" s="28"/>
      <c r="Y57" s="28"/>
      <c r="AI57" s="40">
        <f>SUM(Z58:Z58)</f>
        <v>0</v>
      </c>
      <c r="AJ57" s="40">
        <f>SUM(AA58:AA58)</f>
        <v>0</v>
      </c>
      <c r="AK57" s="40">
        <f>SUM(AB58:AB58)</f>
        <v>0</v>
      </c>
    </row>
    <row r="58" spans="1:48" ht="12.75">
      <c r="A58" s="5" t="s">
        <v>35</v>
      </c>
      <c r="B58" s="5"/>
      <c r="C58" s="5" t="s">
        <v>408</v>
      </c>
      <c r="D58" s="5" t="s">
        <v>786</v>
      </c>
      <c r="E58" s="5" t="s">
        <v>1151</v>
      </c>
      <c r="F58" s="19">
        <v>81.259</v>
      </c>
      <c r="G58" s="19">
        <v>0</v>
      </c>
      <c r="H58" s="19">
        <f>F58*AE58</f>
        <v>0</v>
      </c>
      <c r="I58" s="19">
        <f>J58-H58</f>
        <v>0</v>
      </c>
      <c r="J58" s="19">
        <f>F58*G58</f>
        <v>0</v>
      </c>
      <c r="K58" s="19">
        <v>0.00336</v>
      </c>
      <c r="L58" s="19">
        <f>F58*K58</f>
        <v>0.27303024000000004</v>
      </c>
      <c r="M58" s="33" t="s">
        <v>1177</v>
      </c>
      <c r="P58" s="37">
        <f>IF(AG58="5",J58,0)</f>
        <v>0</v>
      </c>
      <c r="R58" s="37">
        <f>IF(AG58="1",H58,0)</f>
        <v>0</v>
      </c>
      <c r="S58" s="37">
        <f>IF(AG58="1",I58,0)</f>
        <v>0</v>
      </c>
      <c r="T58" s="37">
        <f>IF(AG58="7",H58,0)</f>
        <v>0</v>
      </c>
      <c r="U58" s="37">
        <f>IF(AG58="7",I58,0)</f>
        <v>0</v>
      </c>
      <c r="V58" s="37">
        <f>IF(AG58="2",H58,0)</f>
        <v>0</v>
      </c>
      <c r="W58" s="37">
        <f>IF(AG58="2",I58,0)</f>
        <v>0</v>
      </c>
      <c r="X58" s="37">
        <f>IF(AG58="0",J58,0)</f>
        <v>0</v>
      </c>
      <c r="Y58" s="28"/>
      <c r="Z58" s="19">
        <f>IF(AD58=0,J58,0)</f>
        <v>0</v>
      </c>
      <c r="AA58" s="19">
        <f>IF(AD58=15,J58,0)</f>
        <v>0</v>
      </c>
      <c r="AB58" s="19">
        <f>IF(AD58=21,J58,0)</f>
        <v>0</v>
      </c>
      <c r="AD58" s="37">
        <v>21</v>
      </c>
      <c r="AE58" s="37">
        <f>G58*0.660379849706985</f>
        <v>0</v>
      </c>
      <c r="AF58" s="37">
        <f>G58*(1-0.660379849706985)</f>
        <v>0</v>
      </c>
      <c r="AG58" s="33" t="s">
        <v>7</v>
      </c>
      <c r="AM58" s="37">
        <f>F58*AE58</f>
        <v>0</v>
      </c>
      <c r="AN58" s="37">
        <f>F58*AF58</f>
        <v>0</v>
      </c>
      <c r="AO58" s="38" t="s">
        <v>1196</v>
      </c>
      <c r="AP58" s="38" t="s">
        <v>1226</v>
      </c>
      <c r="AQ58" s="28" t="s">
        <v>1234</v>
      </c>
      <c r="AS58" s="37">
        <f>AM58+AN58</f>
        <v>0</v>
      </c>
      <c r="AT58" s="37">
        <f>G58/(100-AU58)*100</f>
        <v>0</v>
      </c>
      <c r="AU58" s="37">
        <v>0</v>
      </c>
      <c r="AV58" s="37">
        <f>L58</f>
        <v>0.27303024000000004</v>
      </c>
    </row>
    <row r="59" ht="12.75">
      <c r="D59" s="16" t="s">
        <v>787</v>
      </c>
    </row>
    <row r="60" spans="1:37" ht="12.75">
      <c r="A60" s="6"/>
      <c r="B60" s="14"/>
      <c r="C60" s="14" t="s">
        <v>67</v>
      </c>
      <c r="D60" s="14" t="s">
        <v>788</v>
      </c>
      <c r="E60" s="6" t="s">
        <v>6</v>
      </c>
      <c r="F60" s="6" t="s">
        <v>6</v>
      </c>
      <c r="G60" s="6" t="s">
        <v>6</v>
      </c>
      <c r="H60" s="40">
        <f>SUM(H61:H61)</f>
        <v>0</v>
      </c>
      <c r="I60" s="40">
        <f>SUM(I61:I61)</f>
        <v>0</v>
      </c>
      <c r="J60" s="40">
        <f>H60+I60</f>
        <v>0</v>
      </c>
      <c r="K60" s="28"/>
      <c r="L60" s="40">
        <f>SUM(L61:L61)</f>
        <v>0.229296</v>
      </c>
      <c r="M60" s="28"/>
      <c r="Y60" s="28"/>
      <c r="AI60" s="40">
        <f>SUM(Z61:Z61)</f>
        <v>0</v>
      </c>
      <c r="AJ60" s="40">
        <f>SUM(AA61:AA61)</f>
        <v>0</v>
      </c>
      <c r="AK60" s="40">
        <f>SUM(AB61:AB61)</f>
        <v>0</v>
      </c>
    </row>
    <row r="61" spans="1:48" ht="12.75">
      <c r="A61" s="5" t="s">
        <v>36</v>
      </c>
      <c r="B61" s="5"/>
      <c r="C61" s="5" t="s">
        <v>409</v>
      </c>
      <c r="D61" s="5" t="s">
        <v>789</v>
      </c>
      <c r="E61" s="5" t="s">
        <v>1151</v>
      </c>
      <c r="F61" s="19">
        <v>4.8</v>
      </c>
      <c r="G61" s="19">
        <v>0</v>
      </c>
      <c r="H61" s="19">
        <f>F61*AE61</f>
        <v>0</v>
      </c>
      <c r="I61" s="19">
        <f>J61-H61</f>
        <v>0</v>
      </c>
      <c r="J61" s="19">
        <f>F61*G61</f>
        <v>0</v>
      </c>
      <c r="K61" s="19">
        <v>0.04777</v>
      </c>
      <c r="L61" s="19">
        <f>F61*K61</f>
        <v>0.229296</v>
      </c>
      <c r="M61" s="33" t="s">
        <v>1177</v>
      </c>
      <c r="P61" s="37">
        <f>IF(AG61="5",J61,0)</f>
        <v>0</v>
      </c>
      <c r="R61" s="37">
        <f>IF(AG61="1",H61,0)</f>
        <v>0</v>
      </c>
      <c r="S61" s="37">
        <f>IF(AG61="1",I61,0)</f>
        <v>0</v>
      </c>
      <c r="T61" s="37">
        <f>IF(AG61="7",H61,0)</f>
        <v>0</v>
      </c>
      <c r="U61" s="37">
        <f>IF(AG61="7",I61,0)</f>
        <v>0</v>
      </c>
      <c r="V61" s="37">
        <f>IF(AG61="2",H61,0)</f>
        <v>0</v>
      </c>
      <c r="W61" s="37">
        <f>IF(AG61="2",I61,0)</f>
        <v>0</v>
      </c>
      <c r="X61" s="37">
        <f>IF(AG61="0",J61,0)</f>
        <v>0</v>
      </c>
      <c r="Y61" s="28"/>
      <c r="Z61" s="19">
        <f>IF(AD61=0,J61,0)</f>
        <v>0</v>
      </c>
      <c r="AA61" s="19">
        <f>IF(AD61=15,J61,0)</f>
        <v>0</v>
      </c>
      <c r="AB61" s="19">
        <f>IF(AD61=21,J61,0)</f>
        <v>0</v>
      </c>
      <c r="AD61" s="37">
        <v>21</v>
      </c>
      <c r="AE61" s="37">
        <f>G61*0.417250113444165</f>
        <v>0</v>
      </c>
      <c r="AF61" s="37">
        <f>G61*(1-0.417250113444165)</f>
        <v>0</v>
      </c>
      <c r="AG61" s="33" t="s">
        <v>7</v>
      </c>
      <c r="AM61" s="37">
        <f>F61*AE61</f>
        <v>0</v>
      </c>
      <c r="AN61" s="37">
        <f>F61*AF61</f>
        <v>0</v>
      </c>
      <c r="AO61" s="38" t="s">
        <v>1197</v>
      </c>
      <c r="AP61" s="38" t="s">
        <v>1226</v>
      </c>
      <c r="AQ61" s="28" t="s">
        <v>1234</v>
      </c>
      <c r="AS61" s="37">
        <f>AM61+AN61</f>
        <v>0</v>
      </c>
      <c r="AT61" s="37">
        <f>G61/(100-AU61)*100</f>
        <v>0</v>
      </c>
      <c r="AU61" s="37">
        <v>0</v>
      </c>
      <c r="AV61" s="37">
        <f>L61</f>
        <v>0.229296</v>
      </c>
    </row>
    <row r="62" spans="1:37" ht="12.75">
      <c r="A62" s="6"/>
      <c r="B62" s="14"/>
      <c r="C62" s="14" t="s">
        <v>68</v>
      </c>
      <c r="D62" s="14" t="s">
        <v>790</v>
      </c>
      <c r="E62" s="6" t="s">
        <v>6</v>
      </c>
      <c r="F62" s="6" t="s">
        <v>6</v>
      </c>
      <c r="G62" s="6" t="s">
        <v>6</v>
      </c>
      <c r="H62" s="40">
        <f>SUM(H63:H67)</f>
        <v>0</v>
      </c>
      <c r="I62" s="40">
        <f>SUM(I63:I67)</f>
        <v>0</v>
      </c>
      <c r="J62" s="40">
        <f>H62+I62</f>
        <v>0</v>
      </c>
      <c r="K62" s="28"/>
      <c r="L62" s="40">
        <f>SUM(L63:L67)</f>
        <v>5.402872912</v>
      </c>
      <c r="M62" s="28"/>
      <c r="Y62" s="28"/>
      <c r="AI62" s="40">
        <f>SUM(Z63:Z67)</f>
        <v>0</v>
      </c>
      <c r="AJ62" s="40">
        <f>SUM(AA63:AA67)</f>
        <v>0</v>
      </c>
      <c r="AK62" s="40">
        <f>SUM(AB63:AB67)</f>
        <v>0</v>
      </c>
    </row>
    <row r="63" spans="1:48" ht="12.75">
      <c r="A63" s="5" t="s">
        <v>37</v>
      </c>
      <c r="B63" s="5"/>
      <c r="C63" s="5" t="s">
        <v>410</v>
      </c>
      <c r="D63" s="5" t="s">
        <v>791</v>
      </c>
      <c r="E63" s="5" t="s">
        <v>1154</v>
      </c>
      <c r="F63" s="19">
        <v>19</v>
      </c>
      <c r="G63" s="19">
        <v>0</v>
      </c>
      <c r="H63" s="19">
        <f>F63*AE63</f>
        <v>0</v>
      </c>
      <c r="I63" s="19">
        <f>J63-H63</f>
        <v>0</v>
      </c>
      <c r="J63" s="19">
        <f>F63*G63</f>
        <v>0</v>
      </c>
      <c r="K63" s="19">
        <v>0.00023</v>
      </c>
      <c r="L63" s="19">
        <f>F63*K63</f>
        <v>0.00437</v>
      </c>
      <c r="M63" s="33" t="s">
        <v>1177</v>
      </c>
      <c r="P63" s="37">
        <f>IF(AG63="5",J63,0)</f>
        <v>0</v>
      </c>
      <c r="R63" s="37">
        <f>IF(AG63="1",H63,0)</f>
        <v>0</v>
      </c>
      <c r="S63" s="37">
        <f>IF(AG63="1",I63,0)</f>
        <v>0</v>
      </c>
      <c r="T63" s="37">
        <f>IF(AG63="7",H63,0)</f>
        <v>0</v>
      </c>
      <c r="U63" s="37">
        <f>IF(AG63="7",I63,0)</f>
        <v>0</v>
      </c>
      <c r="V63" s="37">
        <f>IF(AG63="2",H63,0)</f>
        <v>0</v>
      </c>
      <c r="W63" s="37">
        <f>IF(AG63="2",I63,0)</f>
        <v>0</v>
      </c>
      <c r="X63" s="37">
        <f>IF(AG63="0",J63,0)</f>
        <v>0</v>
      </c>
      <c r="Y63" s="28"/>
      <c r="Z63" s="19">
        <f>IF(AD63=0,J63,0)</f>
        <v>0</v>
      </c>
      <c r="AA63" s="19">
        <f>IF(AD63=15,J63,0)</f>
        <v>0</v>
      </c>
      <c r="AB63" s="19">
        <f>IF(AD63=21,J63,0)</f>
        <v>0</v>
      </c>
      <c r="AD63" s="37">
        <v>21</v>
      </c>
      <c r="AE63" s="37">
        <f>G63*0.7100016753225</f>
        <v>0</v>
      </c>
      <c r="AF63" s="37">
        <f>G63*(1-0.7100016753225)</f>
        <v>0</v>
      </c>
      <c r="AG63" s="33" t="s">
        <v>7</v>
      </c>
      <c r="AM63" s="37">
        <f>F63*AE63</f>
        <v>0</v>
      </c>
      <c r="AN63" s="37">
        <f>F63*AF63</f>
        <v>0</v>
      </c>
      <c r="AO63" s="38" t="s">
        <v>1198</v>
      </c>
      <c r="AP63" s="38" t="s">
        <v>1226</v>
      </c>
      <c r="AQ63" s="28" t="s">
        <v>1234</v>
      </c>
      <c r="AS63" s="37">
        <f>AM63+AN63</f>
        <v>0</v>
      </c>
      <c r="AT63" s="37">
        <f>G63/(100-AU63)*100</f>
        <v>0</v>
      </c>
      <c r="AU63" s="37">
        <v>0</v>
      </c>
      <c r="AV63" s="37">
        <f>L63</f>
        <v>0.00437</v>
      </c>
    </row>
    <row r="64" spans="1:48" ht="12.75">
      <c r="A64" s="5" t="s">
        <v>38</v>
      </c>
      <c r="B64" s="5"/>
      <c r="C64" s="5" t="s">
        <v>411</v>
      </c>
      <c r="D64" s="5" t="s">
        <v>792</v>
      </c>
      <c r="E64" s="5" t="s">
        <v>1151</v>
      </c>
      <c r="F64" s="19">
        <v>22.939</v>
      </c>
      <c r="G64" s="19">
        <v>0</v>
      </c>
      <c r="H64" s="19">
        <f>F64*AE64</f>
        <v>0</v>
      </c>
      <c r="I64" s="19">
        <f>J64-H64</f>
        <v>0</v>
      </c>
      <c r="J64" s="19">
        <f>F64*G64</f>
        <v>0</v>
      </c>
      <c r="K64" s="19">
        <v>4E-05</v>
      </c>
      <c r="L64" s="19">
        <f>F64*K64</f>
        <v>0.0009175600000000001</v>
      </c>
      <c r="M64" s="33" t="s">
        <v>1177</v>
      </c>
      <c r="P64" s="37">
        <f>IF(AG64="5",J64,0)</f>
        <v>0</v>
      </c>
      <c r="R64" s="37">
        <f>IF(AG64="1",H64,0)</f>
        <v>0</v>
      </c>
      <c r="S64" s="37">
        <f>IF(AG64="1",I64,0)</f>
        <v>0</v>
      </c>
      <c r="T64" s="37">
        <f>IF(AG64="7",H64,0)</f>
        <v>0</v>
      </c>
      <c r="U64" s="37">
        <f>IF(AG64="7",I64,0)</f>
        <v>0</v>
      </c>
      <c r="V64" s="37">
        <f>IF(AG64="2",H64,0)</f>
        <v>0</v>
      </c>
      <c r="W64" s="37">
        <f>IF(AG64="2",I64,0)</f>
        <v>0</v>
      </c>
      <c r="X64" s="37">
        <f>IF(AG64="0",J64,0)</f>
        <v>0</v>
      </c>
      <c r="Y64" s="28"/>
      <c r="Z64" s="19">
        <f>IF(AD64=0,J64,0)</f>
        <v>0</v>
      </c>
      <c r="AA64" s="19">
        <f>IF(AD64=15,J64,0)</f>
        <v>0</v>
      </c>
      <c r="AB64" s="19">
        <f>IF(AD64=21,J64,0)</f>
        <v>0</v>
      </c>
      <c r="AD64" s="37">
        <v>21</v>
      </c>
      <c r="AE64" s="37">
        <f>G64*0.32802685444177</f>
        <v>0</v>
      </c>
      <c r="AF64" s="37">
        <f>G64*(1-0.32802685444177)</f>
        <v>0</v>
      </c>
      <c r="AG64" s="33" t="s">
        <v>7</v>
      </c>
      <c r="AM64" s="37">
        <f>F64*AE64</f>
        <v>0</v>
      </c>
      <c r="AN64" s="37">
        <f>F64*AF64</f>
        <v>0</v>
      </c>
      <c r="AO64" s="38" t="s">
        <v>1198</v>
      </c>
      <c r="AP64" s="38" t="s">
        <v>1226</v>
      </c>
      <c r="AQ64" s="28" t="s">
        <v>1234</v>
      </c>
      <c r="AS64" s="37">
        <f>AM64+AN64</f>
        <v>0</v>
      </c>
      <c r="AT64" s="37">
        <f>G64/(100-AU64)*100</f>
        <v>0</v>
      </c>
      <c r="AU64" s="37">
        <v>0</v>
      </c>
      <c r="AV64" s="37">
        <f>L64</f>
        <v>0.0009175600000000001</v>
      </c>
    </row>
    <row r="65" spans="1:48" ht="12.75">
      <c r="A65" s="5" t="s">
        <v>39</v>
      </c>
      <c r="B65" s="5"/>
      <c r="C65" s="5" t="s">
        <v>412</v>
      </c>
      <c r="D65" s="5" t="s">
        <v>793</v>
      </c>
      <c r="E65" s="5" t="s">
        <v>1151</v>
      </c>
      <c r="F65" s="19">
        <v>83.5156</v>
      </c>
      <c r="G65" s="19">
        <v>0</v>
      </c>
      <c r="H65" s="19">
        <f>F65*AE65</f>
        <v>0</v>
      </c>
      <c r="I65" s="19">
        <f>J65-H65</f>
        <v>0</v>
      </c>
      <c r="J65" s="19">
        <f>F65*G65</f>
        <v>0</v>
      </c>
      <c r="K65" s="19">
        <v>0.05722</v>
      </c>
      <c r="L65" s="19">
        <f>F65*K65</f>
        <v>4.778762632</v>
      </c>
      <c r="M65" s="33" t="s">
        <v>1177</v>
      </c>
      <c r="P65" s="37">
        <f>IF(AG65="5",J65,0)</f>
        <v>0</v>
      </c>
      <c r="R65" s="37">
        <f>IF(AG65="1",H65,0)</f>
        <v>0</v>
      </c>
      <c r="S65" s="37">
        <f>IF(AG65="1",I65,0)</f>
        <v>0</v>
      </c>
      <c r="T65" s="37">
        <f>IF(AG65="7",H65,0)</f>
        <v>0</v>
      </c>
      <c r="U65" s="37">
        <f>IF(AG65="7",I65,0)</f>
        <v>0</v>
      </c>
      <c r="V65" s="37">
        <f>IF(AG65="2",H65,0)</f>
        <v>0</v>
      </c>
      <c r="W65" s="37">
        <f>IF(AG65="2",I65,0)</f>
        <v>0</v>
      </c>
      <c r="X65" s="37">
        <f>IF(AG65="0",J65,0)</f>
        <v>0</v>
      </c>
      <c r="Y65" s="28"/>
      <c r="Z65" s="19">
        <f>IF(AD65=0,J65,0)</f>
        <v>0</v>
      </c>
      <c r="AA65" s="19">
        <f>IF(AD65=15,J65,0)</f>
        <v>0</v>
      </c>
      <c r="AB65" s="19">
        <f>IF(AD65=21,J65,0)</f>
        <v>0</v>
      </c>
      <c r="AD65" s="37">
        <v>21</v>
      </c>
      <c r="AE65" s="37">
        <f>G65*0.120673964221639</f>
        <v>0</v>
      </c>
      <c r="AF65" s="37">
        <f>G65*(1-0.120673964221639)</f>
        <v>0</v>
      </c>
      <c r="AG65" s="33" t="s">
        <v>7</v>
      </c>
      <c r="AM65" s="37">
        <f>F65*AE65</f>
        <v>0</v>
      </c>
      <c r="AN65" s="37">
        <f>F65*AF65</f>
        <v>0</v>
      </c>
      <c r="AO65" s="38" t="s">
        <v>1198</v>
      </c>
      <c r="AP65" s="38" t="s">
        <v>1226</v>
      </c>
      <c r="AQ65" s="28" t="s">
        <v>1234</v>
      </c>
      <c r="AS65" s="37">
        <f>AM65+AN65</f>
        <v>0</v>
      </c>
      <c r="AT65" s="37">
        <f>G65/(100-AU65)*100</f>
        <v>0</v>
      </c>
      <c r="AU65" s="37">
        <v>0</v>
      </c>
      <c r="AV65" s="37">
        <f>L65</f>
        <v>4.778762632</v>
      </c>
    </row>
    <row r="66" ht="12.75">
      <c r="D66" s="16" t="s">
        <v>794</v>
      </c>
    </row>
    <row r="67" spans="1:48" ht="12.75">
      <c r="A67" s="5" t="s">
        <v>40</v>
      </c>
      <c r="B67" s="5"/>
      <c r="C67" s="5" t="s">
        <v>413</v>
      </c>
      <c r="D67" s="5" t="s">
        <v>795</v>
      </c>
      <c r="E67" s="5" t="s">
        <v>1151</v>
      </c>
      <c r="F67" s="19">
        <v>9.648</v>
      </c>
      <c r="G67" s="19">
        <v>0</v>
      </c>
      <c r="H67" s="19">
        <f>F67*AE67</f>
        <v>0</v>
      </c>
      <c r="I67" s="19">
        <f>J67-H67</f>
        <v>0</v>
      </c>
      <c r="J67" s="19">
        <f>F67*G67</f>
        <v>0</v>
      </c>
      <c r="K67" s="19">
        <v>0.06414</v>
      </c>
      <c r="L67" s="19">
        <f>F67*K67</f>
        <v>0.61882272</v>
      </c>
      <c r="M67" s="33" t="s">
        <v>1177</v>
      </c>
      <c r="P67" s="37">
        <f>IF(AG67="5",J67,0)</f>
        <v>0</v>
      </c>
      <c r="R67" s="37">
        <f>IF(AG67="1",H67,0)</f>
        <v>0</v>
      </c>
      <c r="S67" s="37">
        <f>IF(AG67="1",I67,0)</f>
        <v>0</v>
      </c>
      <c r="T67" s="37">
        <f>IF(AG67="7",H67,0)</f>
        <v>0</v>
      </c>
      <c r="U67" s="37">
        <f>IF(AG67="7",I67,0)</f>
        <v>0</v>
      </c>
      <c r="V67" s="37">
        <f>IF(AG67="2",H67,0)</f>
        <v>0</v>
      </c>
      <c r="W67" s="37">
        <f>IF(AG67="2",I67,0)</f>
        <v>0</v>
      </c>
      <c r="X67" s="37">
        <f>IF(AG67="0",J67,0)</f>
        <v>0</v>
      </c>
      <c r="Y67" s="28"/>
      <c r="Z67" s="19">
        <f>IF(AD67=0,J67,0)</f>
        <v>0</v>
      </c>
      <c r="AA67" s="19">
        <f>IF(AD67=15,J67,0)</f>
        <v>0</v>
      </c>
      <c r="AB67" s="19">
        <f>IF(AD67=21,J67,0)</f>
        <v>0</v>
      </c>
      <c r="AD67" s="37">
        <v>21</v>
      </c>
      <c r="AE67" s="37">
        <f>G67*0.120668979980934</f>
        <v>0</v>
      </c>
      <c r="AF67" s="37">
        <f>G67*(1-0.120668979980934)</f>
        <v>0</v>
      </c>
      <c r="AG67" s="33" t="s">
        <v>7</v>
      </c>
      <c r="AM67" s="37">
        <f>F67*AE67</f>
        <v>0</v>
      </c>
      <c r="AN67" s="37">
        <f>F67*AF67</f>
        <v>0</v>
      </c>
      <c r="AO67" s="38" t="s">
        <v>1198</v>
      </c>
      <c r="AP67" s="38" t="s">
        <v>1226</v>
      </c>
      <c r="AQ67" s="28" t="s">
        <v>1234</v>
      </c>
      <c r="AS67" s="37">
        <f>AM67+AN67</f>
        <v>0</v>
      </c>
      <c r="AT67" s="37">
        <f>G67/(100-AU67)*100</f>
        <v>0</v>
      </c>
      <c r="AU67" s="37">
        <v>0</v>
      </c>
      <c r="AV67" s="37">
        <f>L67</f>
        <v>0.61882272</v>
      </c>
    </row>
    <row r="68" ht="25.5">
      <c r="D68" s="16" t="s">
        <v>796</v>
      </c>
    </row>
    <row r="69" spans="1:37" ht="12.75">
      <c r="A69" s="6"/>
      <c r="B69" s="14"/>
      <c r="C69" s="14" t="s">
        <v>69</v>
      </c>
      <c r="D69" s="14" t="s">
        <v>797</v>
      </c>
      <c r="E69" s="6" t="s">
        <v>6</v>
      </c>
      <c r="F69" s="6" t="s">
        <v>6</v>
      </c>
      <c r="G69" s="6" t="s">
        <v>6</v>
      </c>
      <c r="H69" s="40">
        <f>SUM(H70:H72)</f>
        <v>0</v>
      </c>
      <c r="I69" s="40">
        <f>SUM(I70:I72)</f>
        <v>0</v>
      </c>
      <c r="J69" s="40">
        <f>H69+I69</f>
        <v>0</v>
      </c>
      <c r="K69" s="28"/>
      <c r="L69" s="40">
        <f>SUM(L70:L72)</f>
        <v>47.18034392</v>
      </c>
      <c r="M69" s="28"/>
      <c r="Y69" s="28"/>
      <c r="AI69" s="40">
        <f>SUM(Z70:Z72)</f>
        <v>0</v>
      </c>
      <c r="AJ69" s="40">
        <f>SUM(AA70:AA72)</f>
        <v>0</v>
      </c>
      <c r="AK69" s="40">
        <f>SUM(AB70:AB72)</f>
        <v>0</v>
      </c>
    </row>
    <row r="70" spans="1:48" ht="12.75">
      <c r="A70" s="5" t="s">
        <v>41</v>
      </c>
      <c r="B70" s="5"/>
      <c r="C70" s="5" t="s">
        <v>414</v>
      </c>
      <c r="D70" s="5" t="s">
        <v>798</v>
      </c>
      <c r="E70" s="5" t="s">
        <v>1151</v>
      </c>
      <c r="F70" s="19">
        <v>51.726</v>
      </c>
      <c r="G70" s="19">
        <v>0</v>
      </c>
      <c r="H70" s="19">
        <f>F70*AE70</f>
        <v>0</v>
      </c>
      <c r="I70" s="19">
        <f>J70-H70</f>
        <v>0</v>
      </c>
      <c r="J70" s="19">
        <f>F70*G70</f>
        <v>0</v>
      </c>
      <c r="K70" s="19">
        <v>0.00892</v>
      </c>
      <c r="L70" s="19">
        <f>F70*K70</f>
        <v>0.46139592</v>
      </c>
      <c r="M70" s="33" t="s">
        <v>1177</v>
      </c>
      <c r="P70" s="37">
        <f>IF(AG70="5",J70,0)</f>
        <v>0</v>
      </c>
      <c r="R70" s="37">
        <f>IF(AG70="1",H70,0)</f>
        <v>0</v>
      </c>
      <c r="S70" s="37">
        <f>IF(AG70="1",I70,0)</f>
        <v>0</v>
      </c>
      <c r="T70" s="37">
        <f>IF(AG70="7",H70,0)</f>
        <v>0</v>
      </c>
      <c r="U70" s="37">
        <f>IF(AG70="7",I70,0)</f>
        <v>0</v>
      </c>
      <c r="V70" s="37">
        <f>IF(AG70="2",H70,0)</f>
        <v>0</v>
      </c>
      <c r="W70" s="37">
        <f>IF(AG70="2",I70,0)</f>
        <v>0</v>
      </c>
      <c r="X70" s="37">
        <f>IF(AG70="0",J70,0)</f>
        <v>0</v>
      </c>
      <c r="Y70" s="28"/>
      <c r="Z70" s="19">
        <f>IF(AD70=0,J70,0)</f>
        <v>0</v>
      </c>
      <c r="AA70" s="19">
        <f>IF(AD70=15,J70,0)</f>
        <v>0</v>
      </c>
      <c r="AB70" s="19">
        <f>IF(AD70=21,J70,0)</f>
        <v>0</v>
      </c>
      <c r="AD70" s="37">
        <v>21</v>
      </c>
      <c r="AE70" s="37">
        <f>G70*0.609756469641916</f>
        <v>0</v>
      </c>
      <c r="AF70" s="37">
        <f>G70*(1-0.609756469641916)</f>
        <v>0</v>
      </c>
      <c r="AG70" s="33" t="s">
        <v>7</v>
      </c>
      <c r="AM70" s="37">
        <f>F70*AE70</f>
        <v>0</v>
      </c>
      <c r="AN70" s="37">
        <f>F70*AF70</f>
        <v>0</v>
      </c>
      <c r="AO70" s="38" t="s">
        <v>1199</v>
      </c>
      <c r="AP70" s="38" t="s">
        <v>1226</v>
      </c>
      <c r="AQ70" s="28" t="s">
        <v>1234</v>
      </c>
      <c r="AS70" s="37">
        <f>AM70+AN70</f>
        <v>0</v>
      </c>
      <c r="AT70" s="37">
        <f>G70/(100-AU70)*100</f>
        <v>0</v>
      </c>
      <c r="AU70" s="37">
        <v>0</v>
      </c>
      <c r="AV70" s="37">
        <f>L70</f>
        <v>0.46139592</v>
      </c>
    </row>
    <row r="71" ht="12.75">
      <c r="D71" s="16" t="s">
        <v>799</v>
      </c>
    </row>
    <row r="72" spans="1:48" ht="12.75">
      <c r="A72" s="5" t="s">
        <v>42</v>
      </c>
      <c r="B72" s="5"/>
      <c r="C72" s="5" t="s">
        <v>415</v>
      </c>
      <c r="D72" s="5" t="s">
        <v>800</v>
      </c>
      <c r="E72" s="5" t="s">
        <v>1151</v>
      </c>
      <c r="F72" s="19">
        <v>138.14</v>
      </c>
      <c r="G72" s="19">
        <v>0</v>
      </c>
      <c r="H72" s="19">
        <f>F72*AE72</f>
        <v>0</v>
      </c>
      <c r="I72" s="19">
        <f>J72-H72</f>
        <v>0</v>
      </c>
      <c r="J72" s="19">
        <f>F72*G72</f>
        <v>0</v>
      </c>
      <c r="K72" s="19">
        <v>0.3382</v>
      </c>
      <c r="L72" s="19">
        <f>F72*K72</f>
        <v>46.718948</v>
      </c>
      <c r="M72" s="33" t="s">
        <v>1177</v>
      </c>
      <c r="P72" s="37">
        <f>IF(AG72="5",J72,0)</f>
        <v>0</v>
      </c>
      <c r="R72" s="37">
        <f>IF(AG72="1",H72,0)</f>
        <v>0</v>
      </c>
      <c r="S72" s="37">
        <f>IF(AG72="1",I72,0)</f>
        <v>0</v>
      </c>
      <c r="T72" s="37">
        <f>IF(AG72="7",H72,0)</f>
        <v>0</v>
      </c>
      <c r="U72" s="37">
        <f>IF(AG72="7",I72,0)</f>
        <v>0</v>
      </c>
      <c r="V72" s="37">
        <f>IF(AG72="2",H72,0)</f>
        <v>0</v>
      </c>
      <c r="W72" s="37">
        <f>IF(AG72="2",I72,0)</f>
        <v>0</v>
      </c>
      <c r="X72" s="37">
        <f>IF(AG72="0",J72,0)</f>
        <v>0</v>
      </c>
      <c r="Y72" s="28"/>
      <c r="Z72" s="19">
        <f>IF(AD72=0,J72,0)</f>
        <v>0</v>
      </c>
      <c r="AA72" s="19">
        <f>IF(AD72=15,J72,0)</f>
        <v>0</v>
      </c>
      <c r="AB72" s="19">
        <f>IF(AD72=21,J72,0)</f>
        <v>0</v>
      </c>
      <c r="AD72" s="37">
        <v>21</v>
      </c>
      <c r="AE72" s="37">
        <f>G72*0.765487192809598</f>
        <v>0</v>
      </c>
      <c r="AF72" s="37">
        <f>G72*(1-0.765487192809598)</f>
        <v>0</v>
      </c>
      <c r="AG72" s="33" t="s">
        <v>7</v>
      </c>
      <c r="AM72" s="37">
        <f>F72*AE72</f>
        <v>0</v>
      </c>
      <c r="AN72" s="37">
        <f>F72*AF72</f>
        <v>0</v>
      </c>
      <c r="AO72" s="38" t="s">
        <v>1199</v>
      </c>
      <c r="AP72" s="38" t="s">
        <v>1226</v>
      </c>
      <c r="AQ72" s="28" t="s">
        <v>1234</v>
      </c>
      <c r="AS72" s="37">
        <f>AM72+AN72</f>
        <v>0</v>
      </c>
      <c r="AT72" s="37">
        <f>G72/(100-AU72)*100</f>
        <v>0</v>
      </c>
      <c r="AU72" s="37">
        <v>0</v>
      </c>
      <c r="AV72" s="37">
        <f>L72</f>
        <v>46.718948</v>
      </c>
    </row>
    <row r="73" ht="12.75">
      <c r="D73" s="16" t="s">
        <v>801</v>
      </c>
    </row>
    <row r="74" spans="1:37" ht="12.75">
      <c r="A74" s="6"/>
      <c r="B74" s="14"/>
      <c r="C74" s="14" t="s">
        <v>97</v>
      </c>
      <c r="D74" s="14" t="s">
        <v>802</v>
      </c>
      <c r="E74" s="6" t="s">
        <v>6</v>
      </c>
      <c r="F74" s="6" t="s">
        <v>6</v>
      </c>
      <c r="G74" s="6" t="s">
        <v>6</v>
      </c>
      <c r="H74" s="40">
        <f>SUM(H75:H75)</f>
        <v>0</v>
      </c>
      <c r="I74" s="40">
        <f>SUM(I75:I75)</f>
        <v>0</v>
      </c>
      <c r="J74" s="40">
        <f>H74+I74</f>
        <v>0</v>
      </c>
      <c r="K74" s="28"/>
      <c r="L74" s="40">
        <f>SUM(L75:L75)</f>
        <v>0</v>
      </c>
      <c r="M74" s="28"/>
      <c r="Y74" s="28"/>
      <c r="AI74" s="40">
        <f>SUM(Z75:Z75)</f>
        <v>0</v>
      </c>
      <c r="AJ74" s="40">
        <f>SUM(AA75:AA75)</f>
        <v>0</v>
      </c>
      <c r="AK74" s="40">
        <f>SUM(AB75:AB75)</f>
        <v>0</v>
      </c>
    </row>
    <row r="75" spans="1:48" ht="12.75">
      <c r="A75" s="5" t="s">
        <v>43</v>
      </c>
      <c r="B75" s="5"/>
      <c r="C75" s="5" t="s">
        <v>416</v>
      </c>
      <c r="D75" s="5" t="s">
        <v>803</v>
      </c>
      <c r="E75" s="5" t="s">
        <v>1154</v>
      </c>
      <c r="F75" s="19">
        <v>76.86</v>
      </c>
      <c r="G75" s="19">
        <v>0</v>
      </c>
      <c r="H75" s="19">
        <f>F75*AE75</f>
        <v>0</v>
      </c>
      <c r="I75" s="19">
        <f>J75-H75</f>
        <v>0</v>
      </c>
      <c r="J75" s="19">
        <f>F75*G75</f>
        <v>0</v>
      </c>
      <c r="K75" s="19">
        <v>0</v>
      </c>
      <c r="L75" s="19">
        <f>F75*K75</f>
        <v>0</v>
      </c>
      <c r="M75" s="33" t="s">
        <v>1177</v>
      </c>
      <c r="P75" s="37">
        <f>IF(AG75="5",J75,0)</f>
        <v>0</v>
      </c>
      <c r="R75" s="37">
        <f>IF(AG75="1",H75,0)</f>
        <v>0</v>
      </c>
      <c r="S75" s="37">
        <f>IF(AG75="1",I75,0)</f>
        <v>0</v>
      </c>
      <c r="T75" s="37">
        <f>IF(AG75="7",H75,0)</f>
        <v>0</v>
      </c>
      <c r="U75" s="37">
        <f>IF(AG75="7",I75,0)</f>
        <v>0</v>
      </c>
      <c r="V75" s="37">
        <f>IF(AG75="2",H75,0)</f>
        <v>0</v>
      </c>
      <c r="W75" s="37">
        <f>IF(AG75="2",I75,0)</f>
        <v>0</v>
      </c>
      <c r="X75" s="37">
        <f>IF(AG75="0",J75,0)</f>
        <v>0</v>
      </c>
      <c r="Y75" s="28"/>
      <c r="Z75" s="19">
        <f>IF(AD75=0,J75,0)</f>
        <v>0</v>
      </c>
      <c r="AA75" s="19">
        <f>IF(AD75=15,J75,0)</f>
        <v>0</v>
      </c>
      <c r="AB75" s="19">
        <f>IF(AD75=21,J75,0)</f>
        <v>0</v>
      </c>
      <c r="AD75" s="37">
        <v>21</v>
      </c>
      <c r="AE75" s="37">
        <f>G75*0.568927038626609</f>
        <v>0</v>
      </c>
      <c r="AF75" s="37">
        <f>G75*(1-0.568927038626609)</f>
        <v>0</v>
      </c>
      <c r="AG75" s="33" t="s">
        <v>7</v>
      </c>
      <c r="AM75" s="37">
        <f>F75*AE75</f>
        <v>0</v>
      </c>
      <c r="AN75" s="37">
        <f>F75*AF75</f>
        <v>0</v>
      </c>
      <c r="AO75" s="38" t="s">
        <v>1200</v>
      </c>
      <c r="AP75" s="38" t="s">
        <v>1227</v>
      </c>
      <c r="AQ75" s="28" t="s">
        <v>1234</v>
      </c>
      <c r="AS75" s="37">
        <f>AM75+AN75</f>
        <v>0</v>
      </c>
      <c r="AT75" s="37">
        <f>G75/(100-AU75)*100</f>
        <v>0</v>
      </c>
      <c r="AU75" s="37">
        <v>0</v>
      </c>
      <c r="AV75" s="37">
        <f>L75</f>
        <v>0</v>
      </c>
    </row>
    <row r="76" spans="1:37" ht="12.75">
      <c r="A76" s="6"/>
      <c r="B76" s="14"/>
      <c r="C76" s="14" t="s">
        <v>100</v>
      </c>
      <c r="D76" s="14" t="s">
        <v>804</v>
      </c>
      <c r="E76" s="6" t="s">
        <v>6</v>
      </c>
      <c r="F76" s="6" t="s">
        <v>6</v>
      </c>
      <c r="G76" s="6" t="s">
        <v>6</v>
      </c>
      <c r="H76" s="40">
        <f>SUM(H77:H78)</f>
        <v>0</v>
      </c>
      <c r="I76" s="40">
        <f>SUM(I77:I78)</f>
        <v>0</v>
      </c>
      <c r="J76" s="40">
        <f>H76+I76</f>
        <v>0</v>
      </c>
      <c r="K76" s="28"/>
      <c r="L76" s="40">
        <f>SUM(L77:L78)</f>
        <v>0.2381</v>
      </c>
      <c r="M76" s="28"/>
      <c r="Y76" s="28"/>
      <c r="AI76" s="40">
        <f>SUM(Z77:Z78)</f>
        <v>0</v>
      </c>
      <c r="AJ76" s="40">
        <f>SUM(AA77:AA78)</f>
        <v>0</v>
      </c>
      <c r="AK76" s="40">
        <f>SUM(AB77:AB78)</f>
        <v>0</v>
      </c>
    </row>
    <row r="77" spans="1:48" ht="12.75">
      <c r="A77" s="5" t="s">
        <v>44</v>
      </c>
      <c r="B77" s="5"/>
      <c r="C77" s="5" t="s">
        <v>417</v>
      </c>
      <c r="D77" s="5" t="s">
        <v>805</v>
      </c>
      <c r="E77" s="5" t="s">
        <v>1151</v>
      </c>
      <c r="F77" s="19">
        <v>50</v>
      </c>
      <c r="G77" s="19">
        <v>0</v>
      </c>
      <c r="H77" s="19">
        <f>F77*AE77</f>
        <v>0</v>
      </c>
      <c r="I77" s="19">
        <f>J77-H77</f>
        <v>0</v>
      </c>
      <c r="J77" s="19">
        <f>F77*G77</f>
        <v>0</v>
      </c>
      <c r="K77" s="19">
        <v>0.00121</v>
      </c>
      <c r="L77" s="19">
        <f>F77*K77</f>
        <v>0.0605</v>
      </c>
      <c r="M77" s="33" t="s">
        <v>1177</v>
      </c>
      <c r="P77" s="37">
        <f>IF(AG77="5",J77,0)</f>
        <v>0</v>
      </c>
      <c r="R77" s="37">
        <f>IF(AG77="1",H77,0)</f>
        <v>0</v>
      </c>
      <c r="S77" s="37">
        <f>IF(AG77="1",I77,0)</f>
        <v>0</v>
      </c>
      <c r="T77" s="37">
        <f>IF(AG77="7",H77,0)</f>
        <v>0</v>
      </c>
      <c r="U77" s="37">
        <f>IF(AG77="7",I77,0)</f>
        <v>0</v>
      </c>
      <c r="V77" s="37">
        <f>IF(AG77="2",H77,0)</f>
        <v>0</v>
      </c>
      <c r="W77" s="37">
        <f>IF(AG77="2",I77,0)</f>
        <v>0</v>
      </c>
      <c r="X77" s="37">
        <f>IF(AG77="0",J77,0)</f>
        <v>0</v>
      </c>
      <c r="Y77" s="28"/>
      <c r="Z77" s="19">
        <f>IF(AD77=0,J77,0)</f>
        <v>0</v>
      </c>
      <c r="AA77" s="19">
        <f>IF(AD77=15,J77,0)</f>
        <v>0</v>
      </c>
      <c r="AB77" s="19">
        <f>IF(AD77=21,J77,0)</f>
        <v>0</v>
      </c>
      <c r="AD77" s="37">
        <v>21</v>
      </c>
      <c r="AE77" s="37">
        <f>G77*0.377163745833781</f>
        <v>0</v>
      </c>
      <c r="AF77" s="37">
        <f>G77*(1-0.377163745833781)</f>
        <v>0</v>
      </c>
      <c r="AG77" s="33" t="s">
        <v>7</v>
      </c>
      <c r="AM77" s="37">
        <f>F77*AE77</f>
        <v>0</v>
      </c>
      <c r="AN77" s="37">
        <f>F77*AF77</f>
        <v>0</v>
      </c>
      <c r="AO77" s="38" t="s">
        <v>1201</v>
      </c>
      <c r="AP77" s="38" t="s">
        <v>1227</v>
      </c>
      <c r="AQ77" s="28" t="s">
        <v>1234</v>
      </c>
      <c r="AS77" s="37">
        <f>AM77+AN77</f>
        <v>0</v>
      </c>
      <c r="AT77" s="37">
        <f>G77/(100-AU77)*100</f>
        <v>0</v>
      </c>
      <c r="AU77" s="37">
        <v>0</v>
      </c>
      <c r="AV77" s="37">
        <f>L77</f>
        <v>0.0605</v>
      </c>
    </row>
    <row r="78" spans="1:48" ht="12.75">
      <c r="A78" s="5" t="s">
        <v>45</v>
      </c>
      <c r="B78" s="5"/>
      <c r="C78" s="5" t="s">
        <v>418</v>
      </c>
      <c r="D78" s="5" t="s">
        <v>806</v>
      </c>
      <c r="E78" s="5" t="s">
        <v>1151</v>
      </c>
      <c r="F78" s="19">
        <v>30</v>
      </c>
      <c r="G78" s="19">
        <v>0</v>
      </c>
      <c r="H78" s="19">
        <f>F78*AE78</f>
        <v>0</v>
      </c>
      <c r="I78" s="19">
        <f>J78-H78</f>
        <v>0</v>
      </c>
      <c r="J78" s="19">
        <f>F78*G78</f>
        <v>0</v>
      </c>
      <c r="K78" s="19">
        <v>0.00592</v>
      </c>
      <c r="L78" s="19">
        <f>F78*K78</f>
        <v>0.1776</v>
      </c>
      <c r="M78" s="33" t="s">
        <v>1177</v>
      </c>
      <c r="P78" s="37">
        <f>IF(AG78="5",J78,0)</f>
        <v>0</v>
      </c>
      <c r="R78" s="37">
        <f>IF(AG78="1",H78,0)</f>
        <v>0</v>
      </c>
      <c r="S78" s="37">
        <f>IF(AG78="1",I78,0)</f>
        <v>0</v>
      </c>
      <c r="T78" s="37">
        <f>IF(AG78="7",H78,0)</f>
        <v>0</v>
      </c>
      <c r="U78" s="37">
        <f>IF(AG78="7",I78,0)</f>
        <v>0</v>
      </c>
      <c r="V78" s="37">
        <f>IF(AG78="2",H78,0)</f>
        <v>0</v>
      </c>
      <c r="W78" s="37">
        <f>IF(AG78="2",I78,0)</f>
        <v>0</v>
      </c>
      <c r="X78" s="37">
        <f>IF(AG78="0",J78,0)</f>
        <v>0</v>
      </c>
      <c r="Y78" s="28"/>
      <c r="Z78" s="19">
        <f>IF(AD78=0,J78,0)</f>
        <v>0</v>
      </c>
      <c r="AA78" s="19">
        <f>IF(AD78=15,J78,0)</f>
        <v>0</v>
      </c>
      <c r="AB78" s="19">
        <f>IF(AD78=21,J78,0)</f>
        <v>0</v>
      </c>
      <c r="AD78" s="37">
        <v>21</v>
      </c>
      <c r="AE78" s="37">
        <f>G78*0.469</f>
        <v>0</v>
      </c>
      <c r="AF78" s="37">
        <f>G78*(1-0.469)</f>
        <v>0</v>
      </c>
      <c r="AG78" s="33" t="s">
        <v>7</v>
      </c>
      <c r="AM78" s="37">
        <f>F78*AE78</f>
        <v>0</v>
      </c>
      <c r="AN78" s="37">
        <f>F78*AF78</f>
        <v>0</v>
      </c>
      <c r="AO78" s="38" t="s">
        <v>1201</v>
      </c>
      <c r="AP78" s="38" t="s">
        <v>1227</v>
      </c>
      <c r="AQ78" s="28" t="s">
        <v>1234</v>
      </c>
      <c r="AS78" s="37">
        <f>AM78+AN78</f>
        <v>0</v>
      </c>
      <c r="AT78" s="37">
        <f>G78/(100-AU78)*100</f>
        <v>0</v>
      </c>
      <c r="AU78" s="37">
        <v>0</v>
      </c>
      <c r="AV78" s="37">
        <f>L78</f>
        <v>0.1776</v>
      </c>
    </row>
    <row r="79" spans="1:37" ht="12.75">
      <c r="A79" s="6"/>
      <c r="B79" s="14"/>
      <c r="C79" s="14" t="s">
        <v>101</v>
      </c>
      <c r="D79" s="14" t="s">
        <v>807</v>
      </c>
      <c r="E79" s="6" t="s">
        <v>6</v>
      </c>
      <c r="F79" s="6" t="s">
        <v>6</v>
      </c>
      <c r="G79" s="6" t="s">
        <v>6</v>
      </c>
      <c r="H79" s="40">
        <f>SUM(H80:H83)</f>
        <v>0</v>
      </c>
      <c r="I79" s="40">
        <f>SUM(I80:I83)</f>
        <v>0</v>
      </c>
      <c r="J79" s="40">
        <f>H79+I79</f>
        <v>0</v>
      </c>
      <c r="K79" s="28"/>
      <c r="L79" s="40">
        <f>SUM(L80:L83)</f>
        <v>0.007865790000000001</v>
      </c>
      <c r="M79" s="28"/>
      <c r="Y79" s="28"/>
      <c r="AI79" s="40">
        <f>SUM(Z80:Z83)</f>
        <v>0</v>
      </c>
      <c r="AJ79" s="40">
        <f>SUM(AA80:AA83)</f>
        <v>0</v>
      </c>
      <c r="AK79" s="40">
        <f>SUM(AB80:AB83)</f>
        <v>0</v>
      </c>
    </row>
    <row r="80" spans="1:48" ht="12.75">
      <c r="A80" s="5" t="s">
        <v>46</v>
      </c>
      <c r="B80" s="5"/>
      <c r="C80" s="5" t="s">
        <v>419</v>
      </c>
      <c r="D80" s="5" t="s">
        <v>808</v>
      </c>
      <c r="E80" s="5" t="s">
        <v>1155</v>
      </c>
      <c r="F80" s="19">
        <v>10</v>
      </c>
      <c r="G80" s="19">
        <v>0</v>
      </c>
      <c r="H80" s="19">
        <f>F80*AE80</f>
        <v>0</v>
      </c>
      <c r="I80" s="19">
        <f>J80-H80</f>
        <v>0</v>
      </c>
      <c r="J80" s="19">
        <f>F80*G80</f>
        <v>0</v>
      </c>
      <c r="K80" s="19">
        <v>0</v>
      </c>
      <c r="L80" s="19">
        <f>F80*K80</f>
        <v>0</v>
      </c>
      <c r="M80" s="33" t="s">
        <v>1177</v>
      </c>
      <c r="P80" s="37">
        <f>IF(AG80="5",J80,0)</f>
        <v>0</v>
      </c>
      <c r="R80" s="37">
        <f>IF(AG80="1",H80,0)</f>
        <v>0</v>
      </c>
      <c r="S80" s="37">
        <f>IF(AG80="1",I80,0)</f>
        <v>0</v>
      </c>
      <c r="T80" s="37">
        <f>IF(AG80="7",H80,0)</f>
        <v>0</v>
      </c>
      <c r="U80" s="37">
        <f>IF(AG80="7",I80,0)</f>
        <v>0</v>
      </c>
      <c r="V80" s="37">
        <f>IF(AG80="2",H80,0)</f>
        <v>0</v>
      </c>
      <c r="W80" s="37">
        <f>IF(AG80="2",I80,0)</f>
        <v>0</v>
      </c>
      <c r="X80" s="37">
        <f>IF(AG80="0",J80,0)</f>
        <v>0</v>
      </c>
      <c r="Y80" s="28"/>
      <c r="Z80" s="19">
        <f>IF(AD80=0,J80,0)</f>
        <v>0</v>
      </c>
      <c r="AA80" s="19">
        <f>IF(AD80=15,J80,0)</f>
        <v>0</v>
      </c>
      <c r="AB80" s="19">
        <f>IF(AD80=21,J80,0)</f>
        <v>0</v>
      </c>
      <c r="AD80" s="37">
        <v>21</v>
      </c>
      <c r="AE80" s="37">
        <f>G80*0.442103448275862</f>
        <v>0</v>
      </c>
      <c r="AF80" s="37">
        <f>G80*(1-0.442103448275862)</f>
        <v>0</v>
      </c>
      <c r="AG80" s="33" t="s">
        <v>7</v>
      </c>
      <c r="AM80" s="37">
        <f>F80*AE80</f>
        <v>0</v>
      </c>
      <c r="AN80" s="37">
        <f>F80*AF80</f>
        <v>0</v>
      </c>
      <c r="AO80" s="38" t="s">
        <v>1202</v>
      </c>
      <c r="AP80" s="38" t="s">
        <v>1227</v>
      </c>
      <c r="AQ80" s="28" t="s">
        <v>1234</v>
      </c>
      <c r="AS80" s="37">
        <f>AM80+AN80</f>
        <v>0</v>
      </c>
      <c r="AT80" s="37">
        <f>G80/(100-AU80)*100</f>
        <v>0</v>
      </c>
      <c r="AU80" s="37">
        <v>0</v>
      </c>
      <c r="AV80" s="37">
        <f>L80</f>
        <v>0</v>
      </c>
    </row>
    <row r="81" spans="1:48" ht="12.75">
      <c r="A81" s="5" t="s">
        <v>47</v>
      </c>
      <c r="B81" s="5"/>
      <c r="C81" s="5" t="s">
        <v>420</v>
      </c>
      <c r="D81" s="5" t="s">
        <v>809</v>
      </c>
      <c r="E81" s="5" t="s">
        <v>1155</v>
      </c>
      <c r="F81" s="19">
        <v>1</v>
      </c>
      <c r="G81" s="19">
        <v>0</v>
      </c>
      <c r="H81" s="19">
        <f>F81*AE81</f>
        <v>0</v>
      </c>
      <c r="I81" s="19">
        <f>J81-H81</f>
        <v>0</v>
      </c>
      <c r="J81" s="19">
        <f>F81*G81</f>
        <v>0</v>
      </c>
      <c r="K81" s="19">
        <v>0.006</v>
      </c>
      <c r="L81" s="19">
        <f>F81*K81</f>
        <v>0.006</v>
      </c>
      <c r="M81" s="33" t="s">
        <v>1177</v>
      </c>
      <c r="P81" s="37">
        <f>IF(AG81="5",J81,0)</f>
        <v>0</v>
      </c>
      <c r="R81" s="37">
        <f>IF(AG81="1",H81,0)</f>
        <v>0</v>
      </c>
      <c r="S81" s="37">
        <f>IF(AG81="1",I81,0)</f>
        <v>0</v>
      </c>
      <c r="T81" s="37">
        <f>IF(AG81="7",H81,0)</f>
        <v>0</v>
      </c>
      <c r="U81" s="37">
        <f>IF(AG81="7",I81,0)</f>
        <v>0</v>
      </c>
      <c r="V81" s="37">
        <f>IF(AG81="2",H81,0)</f>
        <v>0</v>
      </c>
      <c r="W81" s="37">
        <f>IF(AG81="2",I81,0)</f>
        <v>0</v>
      </c>
      <c r="X81" s="37">
        <f>IF(AG81="0",J81,0)</f>
        <v>0</v>
      </c>
      <c r="Y81" s="28"/>
      <c r="Z81" s="19">
        <f>IF(AD81=0,J81,0)</f>
        <v>0</v>
      </c>
      <c r="AA81" s="19">
        <f>IF(AD81=15,J81,0)</f>
        <v>0</v>
      </c>
      <c r="AB81" s="19">
        <f>IF(AD81=21,J81,0)</f>
        <v>0</v>
      </c>
      <c r="AD81" s="37">
        <v>21</v>
      </c>
      <c r="AE81" s="37">
        <f>G81*0.442116883116883</f>
        <v>0</v>
      </c>
      <c r="AF81" s="37">
        <f>G81*(1-0.442116883116883)</f>
        <v>0</v>
      </c>
      <c r="AG81" s="33" t="s">
        <v>7</v>
      </c>
      <c r="AM81" s="37">
        <f>F81*AE81</f>
        <v>0</v>
      </c>
      <c r="AN81" s="37">
        <f>F81*AF81</f>
        <v>0</v>
      </c>
      <c r="AO81" s="38" t="s">
        <v>1202</v>
      </c>
      <c r="AP81" s="38" t="s">
        <v>1227</v>
      </c>
      <c r="AQ81" s="28" t="s">
        <v>1234</v>
      </c>
      <c r="AS81" s="37">
        <f>AM81+AN81</f>
        <v>0</v>
      </c>
      <c r="AT81" s="37">
        <f>G81/(100-AU81)*100</f>
        <v>0</v>
      </c>
      <c r="AU81" s="37">
        <v>0</v>
      </c>
      <c r="AV81" s="37">
        <f>L81</f>
        <v>0.006</v>
      </c>
    </row>
    <row r="82" spans="1:48" ht="12.75">
      <c r="A82" s="5" t="s">
        <v>48</v>
      </c>
      <c r="B82" s="5"/>
      <c r="C82" s="5" t="s">
        <v>421</v>
      </c>
      <c r="D82" s="5" t="s">
        <v>810</v>
      </c>
      <c r="E82" s="5" t="s">
        <v>1151</v>
      </c>
      <c r="F82" s="19">
        <v>22.939</v>
      </c>
      <c r="G82" s="19">
        <v>0</v>
      </c>
      <c r="H82" s="19">
        <f>F82*AE82</f>
        <v>0</v>
      </c>
      <c r="I82" s="19">
        <f>J82-H82</f>
        <v>0</v>
      </c>
      <c r="J82" s="19">
        <f>F82*G82</f>
        <v>0</v>
      </c>
      <c r="K82" s="19">
        <v>1E-05</v>
      </c>
      <c r="L82" s="19">
        <f>F82*K82</f>
        <v>0.00022939000000000002</v>
      </c>
      <c r="M82" s="33" t="s">
        <v>1177</v>
      </c>
      <c r="P82" s="37">
        <f>IF(AG82="5",J82,0)</f>
        <v>0</v>
      </c>
      <c r="R82" s="37">
        <f>IF(AG82="1",H82,0)</f>
        <v>0</v>
      </c>
      <c r="S82" s="37">
        <f>IF(AG82="1",I82,0)</f>
        <v>0</v>
      </c>
      <c r="T82" s="37">
        <f>IF(AG82="7",H82,0)</f>
        <v>0</v>
      </c>
      <c r="U82" s="37">
        <f>IF(AG82="7",I82,0)</f>
        <v>0</v>
      </c>
      <c r="V82" s="37">
        <f>IF(AG82="2",H82,0)</f>
        <v>0</v>
      </c>
      <c r="W82" s="37">
        <f>IF(AG82="2",I82,0)</f>
        <v>0</v>
      </c>
      <c r="X82" s="37">
        <f>IF(AG82="0",J82,0)</f>
        <v>0</v>
      </c>
      <c r="Y82" s="28"/>
      <c r="Z82" s="19">
        <f>IF(AD82=0,J82,0)</f>
        <v>0</v>
      </c>
      <c r="AA82" s="19">
        <f>IF(AD82=15,J82,0)</f>
        <v>0</v>
      </c>
      <c r="AB82" s="19">
        <f>IF(AD82=21,J82,0)</f>
        <v>0</v>
      </c>
      <c r="AD82" s="37">
        <v>21</v>
      </c>
      <c r="AE82" s="37">
        <f>G82*0.0242072160487964</f>
        <v>0</v>
      </c>
      <c r="AF82" s="37">
        <f>G82*(1-0.0242072160487964)</f>
        <v>0</v>
      </c>
      <c r="AG82" s="33" t="s">
        <v>7</v>
      </c>
      <c r="AM82" s="37">
        <f>F82*AE82</f>
        <v>0</v>
      </c>
      <c r="AN82" s="37">
        <f>F82*AF82</f>
        <v>0</v>
      </c>
      <c r="AO82" s="38" t="s">
        <v>1202</v>
      </c>
      <c r="AP82" s="38" t="s">
        <v>1227</v>
      </c>
      <c r="AQ82" s="28" t="s">
        <v>1234</v>
      </c>
      <c r="AS82" s="37">
        <f>AM82+AN82</f>
        <v>0</v>
      </c>
      <c r="AT82" s="37">
        <f>G82/(100-AU82)*100</f>
        <v>0</v>
      </c>
      <c r="AU82" s="37">
        <v>0</v>
      </c>
      <c r="AV82" s="37">
        <f>L82</f>
        <v>0.00022939000000000002</v>
      </c>
    </row>
    <row r="83" spans="1:48" ht="12.75">
      <c r="A83" s="5" t="s">
        <v>49</v>
      </c>
      <c r="B83" s="5"/>
      <c r="C83" s="5" t="s">
        <v>422</v>
      </c>
      <c r="D83" s="5" t="s">
        <v>811</v>
      </c>
      <c r="E83" s="5" t="s">
        <v>1151</v>
      </c>
      <c r="F83" s="19">
        <v>40.91</v>
      </c>
      <c r="G83" s="19">
        <v>0</v>
      </c>
      <c r="H83" s="19">
        <f>F83*AE83</f>
        <v>0</v>
      </c>
      <c r="I83" s="19">
        <f>J83-H83</f>
        <v>0</v>
      </c>
      <c r="J83" s="19">
        <f>F83*G83</f>
        <v>0</v>
      </c>
      <c r="K83" s="19">
        <v>4E-05</v>
      </c>
      <c r="L83" s="19">
        <f>F83*K83</f>
        <v>0.0016364</v>
      </c>
      <c r="M83" s="33" t="s">
        <v>1177</v>
      </c>
      <c r="P83" s="37">
        <f>IF(AG83="5",J83,0)</f>
        <v>0</v>
      </c>
      <c r="R83" s="37">
        <f>IF(AG83="1",H83,0)</f>
        <v>0</v>
      </c>
      <c r="S83" s="37">
        <f>IF(AG83="1",I83,0)</f>
        <v>0</v>
      </c>
      <c r="T83" s="37">
        <f>IF(AG83="7",H83,0)</f>
        <v>0</v>
      </c>
      <c r="U83" s="37">
        <f>IF(AG83="7",I83,0)</f>
        <v>0</v>
      </c>
      <c r="V83" s="37">
        <f>IF(AG83="2",H83,0)</f>
        <v>0</v>
      </c>
      <c r="W83" s="37">
        <f>IF(AG83="2",I83,0)</f>
        <v>0</v>
      </c>
      <c r="X83" s="37">
        <f>IF(AG83="0",J83,0)</f>
        <v>0</v>
      </c>
      <c r="Y83" s="28"/>
      <c r="Z83" s="19">
        <f>IF(AD83=0,J83,0)</f>
        <v>0</v>
      </c>
      <c r="AA83" s="19">
        <f>IF(AD83=15,J83,0)</f>
        <v>0</v>
      </c>
      <c r="AB83" s="19">
        <f>IF(AD83=21,J83,0)</f>
        <v>0</v>
      </c>
      <c r="AD83" s="37">
        <v>21</v>
      </c>
      <c r="AE83" s="37">
        <f>G83*0.0149096592175897</f>
        <v>0</v>
      </c>
      <c r="AF83" s="37">
        <f>G83*(1-0.0149096592175897)</f>
        <v>0</v>
      </c>
      <c r="AG83" s="33" t="s">
        <v>7</v>
      </c>
      <c r="AM83" s="37">
        <f>F83*AE83</f>
        <v>0</v>
      </c>
      <c r="AN83" s="37">
        <f>F83*AF83</f>
        <v>0</v>
      </c>
      <c r="AO83" s="38" t="s">
        <v>1202</v>
      </c>
      <c r="AP83" s="38" t="s">
        <v>1227</v>
      </c>
      <c r="AQ83" s="28" t="s">
        <v>1234</v>
      </c>
      <c r="AS83" s="37">
        <f>AM83+AN83</f>
        <v>0</v>
      </c>
      <c r="AT83" s="37">
        <f>G83/(100-AU83)*100</f>
        <v>0</v>
      </c>
      <c r="AU83" s="37">
        <v>0</v>
      </c>
      <c r="AV83" s="37">
        <f>L83</f>
        <v>0.0016364</v>
      </c>
    </row>
    <row r="84" spans="1:37" ht="12.75">
      <c r="A84" s="6"/>
      <c r="B84" s="14"/>
      <c r="C84" s="14" t="s">
        <v>102</v>
      </c>
      <c r="D84" s="14" t="s">
        <v>812</v>
      </c>
      <c r="E84" s="6" t="s">
        <v>6</v>
      </c>
      <c r="F84" s="6" t="s">
        <v>6</v>
      </c>
      <c r="G84" s="6" t="s">
        <v>6</v>
      </c>
      <c r="H84" s="40">
        <f>SUM(H85:H86)</f>
        <v>0</v>
      </c>
      <c r="I84" s="40">
        <f>SUM(I85:I86)</f>
        <v>0</v>
      </c>
      <c r="J84" s="40">
        <f>H84+I84</f>
        <v>0</v>
      </c>
      <c r="K84" s="28"/>
      <c r="L84" s="40">
        <f>SUM(L85:L86)</f>
        <v>4.23456</v>
      </c>
      <c r="M84" s="28"/>
      <c r="Y84" s="28"/>
      <c r="AI84" s="40">
        <f>SUM(Z85:Z86)</f>
        <v>0</v>
      </c>
      <c r="AJ84" s="40">
        <f>SUM(AA85:AA86)</f>
        <v>0</v>
      </c>
      <c r="AK84" s="40">
        <f>SUM(AB85:AB86)</f>
        <v>0</v>
      </c>
    </row>
    <row r="85" spans="1:48" ht="12.75">
      <c r="A85" s="5" t="s">
        <v>50</v>
      </c>
      <c r="B85" s="5"/>
      <c r="C85" s="5" t="s">
        <v>423</v>
      </c>
      <c r="D85" s="5" t="s">
        <v>813</v>
      </c>
      <c r="E85" s="5" t="s">
        <v>1150</v>
      </c>
      <c r="F85" s="19">
        <v>1.9248</v>
      </c>
      <c r="G85" s="19">
        <v>0</v>
      </c>
      <c r="H85" s="19">
        <f>F85*AE85</f>
        <v>0</v>
      </c>
      <c r="I85" s="19">
        <f>J85-H85</f>
        <v>0</v>
      </c>
      <c r="J85" s="19">
        <f>F85*G85</f>
        <v>0</v>
      </c>
      <c r="K85" s="19">
        <v>2.2</v>
      </c>
      <c r="L85" s="19">
        <f>F85*K85</f>
        <v>4.23456</v>
      </c>
      <c r="M85" s="33" t="s">
        <v>1177</v>
      </c>
      <c r="P85" s="37">
        <f>IF(AG85="5",J85,0)</f>
        <v>0</v>
      </c>
      <c r="R85" s="37">
        <f>IF(AG85="1",H85,0)</f>
        <v>0</v>
      </c>
      <c r="S85" s="37">
        <f>IF(AG85="1",I85,0)</f>
        <v>0</v>
      </c>
      <c r="T85" s="37">
        <f>IF(AG85="7",H85,0)</f>
        <v>0</v>
      </c>
      <c r="U85" s="37">
        <f>IF(AG85="7",I85,0)</f>
        <v>0</v>
      </c>
      <c r="V85" s="37">
        <f>IF(AG85="2",H85,0)</f>
        <v>0</v>
      </c>
      <c r="W85" s="37">
        <f>IF(AG85="2",I85,0)</f>
        <v>0</v>
      </c>
      <c r="X85" s="37">
        <f>IF(AG85="0",J85,0)</f>
        <v>0</v>
      </c>
      <c r="Y85" s="28"/>
      <c r="Z85" s="19">
        <f>IF(AD85=0,J85,0)</f>
        <v>0</v>
      </c>
      <c r="AA85" s="19">
        <f>IF(AD85=15,J85,0)</f>
        <v>0</v>
      </c>
      <c r="AB85" s="19">
        <f>IF(AD85=21,J85,0)</f>
        <v>0</v>
      </c>
      <c r="AD85" s="37">
        <v>21</v>
      </c>
      <c r="AE85" s="37">
        <f>G85*0</f>
        <v>0</v>
      </c>
      <c r="AF85" s="37">
        <f>G85*(1-0)</f>
        <v>0</v>
      </c>
      <c r="AG85" s="33" t="s">
        <v>7</v>
      </c>
      <c r="AM85" s="37">
        <f>F85*AE85</f>
        <v>0</v>
      </c>
      <c r="AN85" s="37">
        <f>F85*AF85</f>
        <v>0</v>
      </c>
      <c r="AO85" s="38" t="s">
        <v>1203</v>
      </c>
      <c r="AP85" s="38" t="s">
        <v>1227</v>
      </c>
      <c r="AQ85" s="28" t="s">
        <v>1234</v>
      </c>
      <c r="AS85" s="37">
        <f>AM85+AN85</f>
        <v>0</v>
      </c>
      <c r="AT85" s="37">
        <f>G85/(100-AU85)*100</f>
        <v>0</v>
      </c>
      <c r="AU85" s="37">
        <v>0</v>
      </c>
      <c r="AV85" s="37">
        <f>L85</f>
        <v>4.23456</v>
      </c>
    </row>
    <row r="86" spans="1:48" ht="12.75">
      <c r="A86" s="5" t="s">
        <v>51</v>
      </c>
      <c r="B86" s="5"/>
      <c r="C86" s="5" t="s">
        <v>424</v>
      </c>
      <c r="D86" s="5" t="s">
        <v>814</v>
      </c>
      <c r="E86" s="5" t="s">
        <v>1150</v>
      </c>
      <c r="F86" s="19">
        <v>1.9248</v>
      </c>
      <c r="G86" s="19">
        <v>0</v>
      </c>
      <c r="H86" s="19">
        <f>F86*AE86</f>
        <v>0</v>
      </c>
      <c r="I86" s="19">
        <f>J86-H86</f>
        <v>0</v>
      </c>
      <c r="J86" s="19">
        <f>F86*G86</f>
        <v>0</v>
      </c>
      <c r="K86" s="19">
        <v>0</v>
      </c>
      <c r="L86" s="19">
        <f>F86*K86</f>
        <v>0</v>
      </c>
      <c r="M86" s="33" t="s">
        <v>1177</v>
      </c>
      <c r="P86" s="37">
        <f>IF(AG86="5",J86,0)</f>
        <v>0</v>
      </c>
      <c r="R86" s="37">
        <f>IF(AG86="1",H86,0)</f>
        <v>0</v>
      </c>
      <c r="S86" s="37">
        <f>IF(AG86="1",I86,0)</f>
        <v>0</v>
      </c>
      <c r="T86" s="37">
        <f>IF(AG86="7",H86,0)</f>
        <v>0</v>
      </c>
      <c r="U86" s="37">
        <f>IF(AG86="7",I86,0)</f>
        <v>0</v>
      </c>
      <c r="V86" s="37">
        <f>IF(AG86="2",H86,0)</f>
        <v>0</v>
      </c>
      <c r="W86" s="37">
        <f>IF(AG86="2",I86,0)</f>
        <v>0</v>
      </c>
      <c r="X86" s="37">
        <f>IF(AG86="0",J86,0)</f>
        <v>0</v>
      </c>
      <c r="Y86" s="28"/>
      <c r="Z86" s="19">
        <f>IF(AD86=0,J86,0)</f>
        <v>0</v>
      </c>
      <c r="AA86" s="19">
        <f>IF(AD86=15,J86,0)</f>
        <v>0</v>
      </c>
      <c r="AB86" s="19">
        <f>IF(AD86=21,J86,0)</f>
        <v>0</v>
      </c>
      <c r="AD86" s="37">
        <v>21</v>
      </c>
      <c r="AE86" s="37">
        <f>G86*0</f>
        <v>0</v>
      </c>
      <c r="AF86" s="37">
        <f>G86*(1-0)</f>
        <v>0</v>
      </c>
      <c r="AG86" s="33" t="s">
        <v>7</v>
      </c>
      <c r="AM86" s="37">
        <f>F86*AE86</f>
        <v>0</v>
      </c>
      <c r="AN86" s="37">
        <f>F86*AF86</f>
        <v>0</v>
      </c>
      <c r="AO86" s="38" t="s">
        <v>1203</v>
      </c>
      <c r="AP86" s="38" t="s">
        <v>1227</v>
      </c>
      <c r="AQ86" s="28" t="s">
        <v>1234</v>
      </c>
      <c r="AS86" s="37">
        <f>AM86+AN86</f>
        <v>0</v>
      </c>
      <c r="AT86" s="37">
        <f>G86/(100-AU86)*100</f>
        <v>0</v>
      </c>
      <c r="AU86" s="37">
        <v>0</v>
      </c>
      <c r="AV86" s="37">
        <f>L86</f>
        <v>0</v>
      </c>
    </row>
    <row r="87" spans="1:37" ht="12.75">
      <c r="A87" s="6"/>
      <c r="B87" s="14"/>
      <c r="C87" s="14" t="s">
        <v>425</v>
      </c>
      <c r="D87" s="14" t="s">
        <v>815</v>
      </c>
      <c r="E87" s="6" t="s">
        <v>6</v>
      </c>
      <c r="F87" s="6" t="s">
        <v>6</v>
      </c>
      <c r="G87" s="6" t="s">
        <v>6</v>
      </c>
      <c r="H87" s="40">
        <f>SUM(H88:H94)</f>
        <v>0</v>
      </c>
      <c r="I87" s="40">
        <f>SUM(I88:I94)</f>
        <v>0</v>
      </c>
      <c r="J87" s="40">
        <f>H87+I87</f>
        <v>0</v>
      </c>
      <c r="K87" s="28"/>
      <c r="L87" s="40">
        <f>SUM(L88:L94)</f>
        <v>0</v>
      </c>
      <c r="M87" s="28"/>
      <c r="Y87" s="28"/>
      <c r="AI87" s="40">
        <f>SUM(Z88:Z94)</f>
        <v>0</v>
      </c>
      <c r="AJ87" s="40">
        <f>SUM(AA88:AA94)</f>
        <v>0</v>
      </c>
      <c r="AK87" s="40">
        <f>SUM(AB88:AB94)</f>
        <v>0</v>
      </c>
    </row>
    <row r="88" spans="1:48" ht="12.75">
      <c r="A88" s="5" t="s">
        <v>52</v>
      </c>
      <c r="B88" s="5"/>
      <c r="C88" s="5" t="s">
        <v>426</v>
      </c>
      <c r="D88" s="5" t="s">
        <v>816</v>
      </c>
      <c r="E88" s="5" t="s">
        <v>1152</v>
      </c>
      <c r="F88" s="19">
        <v>4.2346</v>
      </c>
      <c r="G88" s="19">
        <v>0</v>
      </c>
      <c r="H88" s="19">
        <f aca="true" t="shared" si="0" ref="H88:H94">F88*AE88</f>
        <v>0</v>
      </c>
      <c r="I88" s="19">
        <f aca="true" t="shared" si="1" ref="I88:I94">J88-H88</f>
        <v>0</v>
      </c>
      <c r="J88" s="19">
        <f aca="true" t="shared" si="2" ref="J88:J94">F88*G88</f>
        <v>0</v>
      </c>
      <c r="K88" s="19">
        <v>0</v>
      </c>
      <c r="L88" s="19">
        <f aca="true" t="shared" si="3" ref="L88:L94">F88*K88</f>
        <v>0</v>
      </c>
      <c r="M88" s="33" t="s">
        <v>1177</v>
      </c>
      <c r="P88" s="37">
        <f aca="true" t="shared" si="4" ref="P88:P94">IF(AG88="5",J88,0)</f>
        <v>0</v>
      </c>
      <c r="R88" s="37">
        <f aca="true" t="shared" si="5" ref="R88:R94">IF(AG88="1",H88,0)</f>
        <v>0</v>
      </c>
      <c r="S88" s="37">
        <f aca="true" t="shared" si="6" ref="S88:S94">IF(AG88="1",I88,0)</f>
        <v>0</v>
      </c>
      <c r="T88" s="37">
        <f aca="true" t="shared" si="7" ref="T88:T94">IF(AG88="7",H88,0)</f>
        <v>0</v>
      </c>
      <c r="U88" s="37">
        <f aca="true" t="shared" si="8" ref="U88:U94">IF(AG88="7",I88,0)</f>
        <v>0</v>
      </c>
      <c r="V88" s="37">
        <f aca="true" t="shared" si="9" ref="V88:V94">IF(AG88="2",H88,0)</f>
        <v>0</v>
      </c>
      <c r="W88" s="37">
        <f aca="true" t="shared" si="10" ref="W88:W94">IF(AG88="2",I88,0)</f>
        <v>0</v>
      </c>
      <c r="X88" s="37">
        <f aca="true" t="shared" si="11" ref="X88:X94">IF(AG88="0",J88,0)</f>
        <v>0</v>
      </c>
      <c r="Y88" s="28"/>
      <c r="Z88" s="19">
        <f aca="true" t="shared" si="12" ref="Z88:Z94">IF(AD88=0,J88,0)</f>
        <v>0</v>
      </c>
      <c r="AA88" s="19">
        <f aca="true" t="shared" si="13" ref="AA88:AA94">IF(AD88=15,J88,0)</f>
        <v>0</v>
      </c>
      <c r="AB88" s="19">
        <f aca="true" t="shared" si="14" ref="AB88:AB94">IF(AD88=21,J88,0)</f>
        <v>0</v>
      </c>
      <c r="AD88" s="37">
        <v>21</v>
      </c>
      <c r="AE88" s="37">
        <f aca="true" t="shared" si="15" ref="AE88:AE94">G88*0</f>
        <v>0</v>
      </c>
      <c r="AF88" s="37">
        <f aca="true" t="shared" si="16" ref="AF88:AF94">G88*(1-0)</f>
        <v>0</v>
      </c>
      <c r="AG88" s="33" t="s">
        <v>11</v>
      </c>
      <c r="AM88" s="37">
        <f aca="true" t="shared" si="17" ref="AM88:AM94">F88*AE88</f>
        <v>0</v>
      </c>
      <c r="AN88" s="37">
        <f aca="true" t="shared" si="18" ref="AN88:AN94">F88*AF88</f>
        <v>0</v>
      </c>
      <c r="AO88" s="38" t="s">
        <v>1204</v>
      </c>
      <c r="AP88" s="38" t="s">
        <v>1227</v>
      </c>
      <c r="AQ88" s="28" t="s">
        <v>1234</v>
      </c>
      <c r="AS88" s="37">
        <f aca="true" t="shared" si="19" ref="AS88:AS94">AM88+AN88</f>
        <v>0</v>
      </c>
      <c r="AT88" s="37">
        <f aca="true" t="shared" si="20" ref="AT88:AT94">G88/(100-AU88)*100</f>
        <v>0</v>
      </c>
      <c r="AU88" s="37">
        <v>0</v>
      </c>
      <c r="AV88" s="37">
        <f aca="true" t="shared" si="21" ref="AV88:AV94">L88</f>
        <v>0</v>
      </c>
    </row>
    <row r="89" spans="1:48" ht="12.75">
      <c r="A89" s="5" t="s">
        <v>53</v>
      </c>
      <c r="B89" s="5"/>
      <c r="C89" s="5" t="s">
        <v>427</v>
      </c>
      <c r="D89" s="5" t="s">
        <v>817</v>
      </c>
      <c r="E89" s="5" t="s">
        <v>1152</v>
      </c>
      <c r="F89" s="19">
        <v>12.7038</v>
      </c>
      <c r="G89" s="19">
        <v>0</v>
      </c>
      <c r="H89" s="19">
        <f t="shared" si="0"/>
        <v>0</v>
      </c>
      <c r="I89" s="19">
        <f t="shared" si="1"/>
        <v>0</v>
      </c>
      <c r="J89" s="19">
        <f t="shared" si="2"/>
        <v>0</v>
      </c>
      <c r="K89" s="19">
        <v>0</v>
      </c>
      <c r="L89" s="19">
        <f t="shared" si="3"/>
        <v>0</v>
      </c>
      <c r="M89" s="33" t="s">
        <v>1177</v>
      </c>
      <c r="P89" s="37">
        <f t="shared" si="4"/>
        <v>0</v>
      </c>
      <c r="R89" s="37">
        <f t="shared" si="5"/>
        <v>0</v>
      </c>
      <c r="S89" s="37">
        <f t="shared" si="6"/>
        <v>0</v>
      </c>
      <c r="T89" s="37">
        <f t="shared" si="7"/>
        <v>0</v>
      </c>
      <c r="U89" s="37">
        <f t="shared" si="8"/>
        <v>0</v>
      </c>
      <c r="V89" s="37">
        <f t="shared" si="9"/>
        <v>0</v>
      </c>
      <c r="W89" s="37">
        <f t="shared" si="10"/>
        <v>0</v>
      </c>
      <c r="X89" s="37">
        <f t="shared" si="11"/>
        <v>0</v>
      </c>
      <c r="Y89" s="28"/>
      <c r="Z89" s="19">
        <f t="shared" si="12"/>
        <v>0</v>
      </c>
      <c r="AA89" s="19">
        <f t="shared" si="13"/>
        <v>0</v>
      </c>
      <c r="AB89" s="19">
        <f t="shared" si="14"/>
        <v>0</v>
      </c>
      <c r="AD89" s="37">
        <v>21</v>
      </c>
      <c r="AE89" s="37">
        <f t="shared" si="15"/>
        <v>0</v>
      </c>
      <c r="AF89" s="37">
        <f t="shared" si="16"/>
        <v>0</v>
      </c>
      <c r="AG89" s="33" t="s">
        <v>11</v>
      </c>
      <c r="AM89" s="37">
        <f t="shared" si="17"/>
        <v>0</v>
      </c>
      <c r="AN89" s="37">
        <f t="shared" si="18"/>
        <v>0</v>
      </c>
      <c r="AO89" s="38" t="s">
        <v>1204</v>
      </c>
      <c r="AP89" s="38" t="s">
        <v>1227</v>
      </c>
      <c r="AQ89" s="28" t="s">
        <v>1234</v>
      </c>
      <c r="AS89" s="37">
        <f t="shared" si="19"/>
        <v>0</v>
      </c>
      <c r="AT89" s="37">
        <f t="shared" si="20"/>
        <v>0</v>
      </c>
      <c r="AU89" s="37">
        <v>0</v>
      </c>
      <c r="AV89" s="37">
        <f t="shared" si="21"/>
        <v>0</v>
      </c>
    </row>
    <row r="90" spans="1:48" ht="12.75">
      <c r="A90" s="5" t="s">
        <v>54</v>
      </c>
      <c r="B90" s="5"/>
      <c r="C90" s="5" t="s">
        <v>428</v>
      </c>
      <c r="D90" s="5" t="s">
        <v>818</v>
      </c>
      <c r="E90" s="5" t="s">
        <v>1152</v>
      </c>
      <c r="F90" s="19">
        <v>4.2346</v>
      </c>
      <c r="G90" s="19">
        <v>0</v>
      </c>
      <c r="H90" s="19">
        <f t="shared" si="0"/>
        <v>0</v>
      </c>
      <c r="I90" s="19">
        <f t="shared" si="1"/>
        <v>0</v>
      </c>
      <c r="J90" s="19">
        <f t="shared" si="2"/>
        <v>0</v>
      </c>
      <c r="K90" s="19">
        <v>0</v>
      </c>
      <c r="L90" s="19">
        <f t="shared" si="3"/>
        <v>0</v>
      </c>
      <c r="M90" s="33" t="s">
        <v>1177</v>
      </c>
      <c r="P90" s="37">
        <f t="shared" si="4"/>
        <v>0</v>
      </c>
      <c r="R90" s="37">
        <f t="shared" si="5"/>
        <v>0</v>
      </c>
      <c r="S90" s="37">
        <f t="shared" si="6"/>
        <v>0</v>
      </c>
      <c r="T90" s="37">
        <f t="shared" si="7"/>
        <v>0</v>
      </c>
      <c r="U90" s="37">
        <f t="shared" si="8"/>
        <v>0</v>
      </c>
      <c r="V90" s="37">
        <f t="shared" si="9"/>
        <v>0</v>
      </c>
      <c r="W90" s="37">
        <f t="shared" si="10"/>
        <v>0</v>
      </c>
      <c r="X90" s="37">
        <f t="shared" si="11"/>
        <v>0</v>
      </c>
      <c r="Y90" s="28"/>
      <c r="Z90" s="19">
        <f t="shared" si="12"/>
        <v>0</v>
      </c>
      <c r="AA90" s="19">
        <f t="shared" si="13"/>
        <v>0</v>
      </c>
      <c r="AB90" s="19">
        <f t="shared" si="14"/>
        <v>0</v>
      </c>
      <c r="AD90" s="37">
        <v>21</v>
      </c>
      <c r="AE90" s="37">
        <f t="shared" si="15"/>
        <v>0</v>
      </c>
      <c r="AF90" s="37">
        <f t="shared" si="16"/>
        <v>0</v>
      </c>
      <c r="AG90" s="33" t="s">
        <v>11</v>
      </c>
      <c r="AM90" s="37">
        <f t="shared" si="17"/>
        <v>0</v>
      </c>
      <c r="AN90" s="37">
        <f t="shared" si="18"/>
        <v>0</v>
      </c>
      <c r="AO90" s="38" t="s">
        <v>1204</v>
      </c>
      <c r="AP90" s="38" t="s">
        <v>1227</v>
      </c>
      <c r="AQ90" s="28" t="s">
        <v>1234</v>
      </c>
      <c r="AS90" s="37">
        <f t="shared" si="19"/>
        <v>0</v>
      </c>
      <c r="AT90" s="37">
        <f t="shared" si="20"/>
        <v>0</v>
      </c>
      <c r="AU90" s="37">
        <v>0</v>
      </c>
      <c r="AV90" s="37">
        <f t="shared" si="21"/>
        <v>0</v>
      </c>
    </row>
    <row r="91" spans="1:48" ht="12.75">
      <c r="A91" s="5" t="s">
        <v>55</v>
      </c>
      <c r="B91" s="5"/>
      <c r="C91" s="5" t="s">
        <v>429</v>
      </c>
      <c r="D91" s="5" t="s">
        <v>819</v>
      </c>
      <c r="E91" s="5" t="s">
        <v>1152</v>
      </c>
      <c r="F91" s="19">
        <v>8.4692</v>
      </c>
      <c r="G91" s="19">
        <v>0</v>
      </c>
      <c r="H91" s="19">
        <f t="shared" si="0"/>
        <v>0</v>
      </c>
      <c r="I91" s="19">
        <f t="shared" si="1"/>
        <v>0</v>
      </c>
      <c r="J91" s="19">
        <f t="shared" si="2"/>
        <v>0</v>
      </c>
      <c r="K91" s="19">
        <v>0</v>
      </c>
      <c r="L91" s="19">
        <f t="shared" si="3"/>
        <v>0</v>
      </c>
      <c r="M91" s="33" t="s">
        <v>1177</v>
      </c>
      <c r="P91" s="37">
        <f t="shared" si="4"/>
        <v>0</v>
      </c>
      <c r="R91" s="37">
        <f t="shared" si="5"/>
        <v>0</v>
      </c>
      <c r="S91" s="37">
        <f t="shared" si="6"/>
        <v>0</v>
      </c>
      <c r="T91" s="37">
        <f t="shared" si="7"/>
        <v>0</v>
      </c>
      <c r="U91" s="37">
        <f t="shared" si="8"/>
        <v>0</v>
      </c>
      <c r="V91" s="37">
        <f t="shared" si="9"/>
        <v>0</v>
      </c>
      <c r="W91" s="37">
        <f t="shared" si="10"/>
        <v>0</v>
      </c>
      <c r="X91" s="37">
        <f t="shared" si="11"/>
        <v>0</v>
      </c>
      <c r="Y91" s="28"/>
      <c r="Z91" s="19">
        <f t="shared" si="12"/>
        <v>0</v>
      </c>
      <c r="AA91" s="19">
        <f t="shared" si="13"/>
        <v>0</v>
      </c>
      <c r="AB91" s="19">
        <f t="shared" si="14"/>
        <v>0</v>
      </c>
      <c r="AD91" s="37">
        <v>21</v>
      </c>
      <c r="AE91" s="37">
        <f t="shared" si="15"/>
        <v>0</v>
      </c>
      <c r="AF91" s="37">
        <f t="shared" si="16"/>
        <v>0</v>
      </c>
      <c r="AG91" s="33" t="s">
        <v>11</v>
      </c>
      <c r="AM91" s="37">
        <f t="shared" si="17"/>
        <v>0</v>
      </c>
      <c r="AN91" s="37">
        <f t="shared" si="18"/>
        <v>0</v>
      </c>
      <c r="AO91" s="38" t="s">
        <v>1204</v>
      </c>
      <c r="AP91" s="38" t="s">
        <v>1227</v>
      </c>
      <c r="AQ91" s="28" t="s">
        <v>1234</v>
      </c>
      <c r="AS91" s="37">
        <f t="shared" si="19"/>
        <v>0</v>
      </c>
      <c r="AT91" s="37">
        <f t="shared" si="20"/>
        <v>0</v>
      </c>
      <c r="AU91" s="37">
        <v>0</v>
      </c>
      <c r="AV91" s="37">
        <f t="shared" si="21"/>
        <v>0</v>
      </c>
    </row>
    <row r="92" spans="1:48" ht="12.75">
      <c r="A92" s="5" t="s">
        <v>56</v>
      </c>
      <c r="B92" s="5"/>
      <c r="C92" s="5" t="s">
        <v>430</v>
      </c>
      <c r="D92" s="5" t="s">
        <v>820</v>
      </c>
      <c r="E92" s="5" t="s">
        <v>1152</v>
      </c>
      <c r="F92" s="19">
        <v>4.2346</v>
      </c>
      <c r="G92" s="19">
        <v>0</v>
      </c>
      <c r="H92" s="19">
        <f t="shared" si="0"/>
        <v>0</v>
      </c>
      <c r="I92" s="19">
        <f t="shared" si="1"/>
        <v>0</v>
      </c>
      <c r="J92" s="19">
        <f t="shared" si="2"/>
        <v>0</v>
      </c>
      <c r="K92" s="19">
        <v>0</v>
      </c>
      <c r="L92" s="19">
        <f t="shared" si="3"/>
        <v>0</v>
      </c>
      <c r="M92" s="33" t="s">
        <v>1177</v>
      </c>
      <c r="P92" s="37">
        <f t="shared" si="4"/>
        <v>0</v>
      </c>
      <c r="R92" s="37">
        <f t="shared" si="5"/>
        <v>0</v>
      </c>
      <c r="S92" s="37">
        <f t="shared" si="6"/>
        <v>0</v>
      </c>
      <c r="T92" s="37">
        <f t="shared" si="7"/>
        <v>0</v>
      </c>
      <c r="U92" s="37">
        <f t="shared" si="8"/>
        <v>0</v>
      </c>
      <c r="V92" s="37">
        <f t="shared" si="9"/>
        <v>0</v>
      </c>
      <c r="W92" s="37">
        <f t="shared" si="10"/>
        <v>0</v>
      </c>
      <c r="X92" s="37">
        <f t="shared" si="11"/>
        <v>0</v>
      </c>
      <c r="Y92" s="28"/>
      <c r="Z92" s="19">
        <f t="shared" si="12"/>
        <v>0</v>
      </c>
      <c r="AA92" s="19">
        <f t="shared" si="13"/>
        <v>0</v>
      </c>
      <c r="AB92" s="19">
        <f t="shared" si="14"/>
        <v>0</v>
      </c>
      <c r="AD92" s="37">
        <v>21</v>
      </c>
      <c r="AE92" s="37">
        <f t="shared" si="15"/>
        <v>0</v>
      </c>
      <c r="AF92" s="37">
        <f t="shared" si="16"/>
        <v>0</v>
      </c>
      <c r="AG92" s="33" t="s">
        <v>11</v>
      </c>
      <c r="AM92" s="37">
        <f t="shared" si="17"/>
        <v>0</v>
      </c>
      <c r="AN92" s="37">
        <f t="shared" si="18"/>
        <v>0</v>
      </c>
      <c r="AO92" s="38" t="s">
        <v>1204</v>
      </c>
      <c r="AP92" s="38" t="s">
        <v>1227</v>
      </c>
      <c r="AQ92" s="28" t="s">
        <v>1234</v>
      </c>
      <c r="AS92" s="37">
        <f t="shared" si="19"/>
        <v>0</v>
      </c>
      <c r="AT92" s="37">
        <f t="shared" si="20"/>
        <v>0</v>
      </c>
      <c r="AU92" s="37">
        <v>0</v>
      </c>
      <c r="AV92" s="37">
        <f t="shared" si="21"/>
        <v>0</v>
      </c>
    </row>
    <row r="93" spans="1:48" ht="12.75">
      <c r="A93" s="5" t="s">
        <v>57</v>
      </c>
      <c r="B93" s="5"/>
      <c r="C93" s="5" t="s">
        <v>431</v>
      </c>
      <c r="D93" s="5" t="s">
        <v>821</v>
      </c>
      <c r="E93" s="5" t="s">
        <v>1152</v>
      </c>
      <c r="F93" s="19">
        <v>4.2346</v>
      </c>
      <c r="G93" s="19">
        <v>0</v>
      </c>
      <c r="H93" s="19">
        <f t="shared" si="0"/>
        <v>0</v>
      </c>
      <c r="I93" s="19">
        <f t="shared" si="1"/>
        <v>0</v>
      </c>
      <c r="J93" s="19">
        <f t="shared" si="2"/>
        <v>0</v>
      </c>
      <c r="K93" s="19">
        <v>0</v>
      </c>
      <c r="L93" s="19">
        <f t="shared" si="3"/>
        <v>0</v>
      </c>
      <c r="M93" s="33" t="s">
        <v>1177</v>
      </c>
      <c r="P93" s="37">
        <f t="shared" si="4"/>
        <v>0</v>
      </c>
      <c r="R93" s="37">
        <f t="shared" si="5"/>
        <v>0</v>
      </c>
      <c r="S93" s="37">
        <f t="shared" si="6"/>
        <v>0</v>
      </c>
      <c r="T93" s="37">
        <f t="shared" si="7"/>
        <v>0</v>
      </c>
      <c r="U93" s="37">
        <f t="shared" si="8"/>
        <v>0</v>
      </c>
      <c r="V93" s="37">
        <f t="shared" si="9"/>
        <v>0</v>
      </c>
      <c r="W93" s="37">
        <f t="shared" si="10"/>
        <v>0</v>
      </c>
      <c r="X93" s="37">
        <f t="shared" si="11"/>
        <v>0</v>
      </c>
      <c r="Y93" s="28"/>
      <c r="Z93" s="19">
        <f t="shared" si="12"/>
        <v>0</v>
      </c>
      <c r="AA93" s="19">
        <f t="shared" si="13"/>
        <v>0</v>
      </c>
      <c r="AB93" s="19">
        <f t="shared" si="14"/>
        <v>0</v>
      </c>
      <c r="AD93" s="37">
        <v>21</v>
      </c>
      <c r="AE93" s="37">
        <f t="shared" si="15"/>
        <v>0</v>
      </c>
      <c r="AF93" s="37">
        <f t="shared" si="16"/>
        <v>0</v>
      </c>
      <c r="AG93" s="33" t="s">
        <v>11</v>
      </c>
      <c r="AM93" s="37">
        <f t="shared" si="17"/>
        <v>0</v>
      </c>
      <c r="AN93" s="37">
        <f t="shared" si="18"/>
        <v>0</v>
      </c>
      <c r="AO93" s="38" t="s">
        <v>1204</v>
      </c>
      <c r="AP93" s="38" t="s">
        <v>1227</v>
      </c>
      <c r="AQ93" s="28" t="s">
        <v>1234</v>
      </c>
      <c r="AS93" s="37">
        <f t="shared" si="19"/>
        <v>0</v>
      </c>
      <c r="AT93" s="37">
        <f t="shared" si="20"/>
        <v>0</v>
      </c>
      <c r="AU93" s="37">
        <v>0</v>
      </c>
      <c r="AV93" s="37">
        <f t="shared" si="21"/>
        <v>0</v>
      </c>
    </row>
    <row r="94" spans="1:48" ht="12.75">
      <c r="A94" s="5" t="s">
        <v>58</v>
      </c>
      <c r="B94" s="5"/>
      <c r="C94" s="5" t="s">
        <v>432</v>
      </c>
      <c r="D94" s="5" t="s">
        <v>822</v>
      </c>
      <c r="E94" s="5" t="s">
        <v>1152</v>
      </c>
      <c r="F94" s="19">
        <v>4.2346</v>
      </c>
      <c r="G94" s="19">
        <v>0</v>
      </c>
      <c r="H94" s="19">
        <f t="shared" si="0"/>
        <v>0</v>
      </c>
      <c r="I94" s="19">
        <f t="shared" si="1"/>
        <v>0</v>
      </c>
      <c r="J94" s="19">
        <f t="shared" si="2"/>
        <v>0</v>
      </c>
      <c r="K94" s="19">
        <v>0</v>
      </c>
      <c r="L94" s="19">
        <f t="shared" si="3"/>
        <v>0</v>
      </c>
      <c r="M94" s="33" t="s">
        <v>1177</v>
      </c>
      <c r="P94" s="37">
        <f t="shared" si="4"/>
        <v>0</v>
      </c>
      <c r="R94" s="37">
        <f t="shared" si="5"/>
        <v>0</v>
      </c>
      <c r="S94" s="37">
        <f t="shared" si="6"/>
        <v>0</v>
      </c>
      <c r="T94" s="37">
        <f t="shared" si="7"/>
        <v>0</v>
      </c>
      <c r="U94" s="37">
        <f t="shared" si="8"/>
        <v>0</v>
      </c>
      <c r="V94" s="37">
        <f t="shared" si="9"/>
        <v>0</v>
      </c>
      <c r="W94" s="37">
        <f t="shared" si="10"/>
        <v>0</v>
      </c>
      <c r="X94" s="37">
        <f t="shared" si="11"/>
        <v>0</v>
      </c>
      <c r="Y94" s="28"/>
      <c r="Z94" s="19">
        <f t="shared" si="12"/>
        <v>0</v>
      </c>
      <c r="AA94" s="19">
        <f t="shared" si="13"/>
        <v>0</v>
      </c>
      <c r="AB94" s="19">
        <f t="shared" si="14"/>
        <v>0</v>
      </c>
      <c r="AD94" s="37">
        <v>21</v>
      </c>
      <c r="AE94" s="37">
        <f t="shared" si="15"/>
        <v>0</v>
      </c>
      <c r="AF94" s="37">
        <f t="shared" si="16"/>
        <v>0</v>
      </c>
      <c r="AG94" s="33" t="s">
        <v>11</v>
      </c>
      <c r="AM94" s="37">
        <f t="shared" si="17"/>
        <v>0</v>
      </c>
      <c r="AN94" s="37">
        <f t="shared" si="18"/>
        <v>0</v>
      </c>
      <c r="AO94" s="38" t="s">
        <v>1204</v>
      </c>
      <c r="AP94" s="38" t="s">
        <v>1227</v>
      </c>
      <c r="AQ94" s="28" t="s">
        <v>1234</v>
      </c>
      <c r="AS94" s="37">
        <f t="shared" si="19"/>
        <v>0</v>
      </c>
      <c r="AT94" s="37">
        <f t="shared" si="20"/>
        <v>0</v>
      </c>
      <c r="AU94" s="37">
        <v>0</v>
      </c>
      <c r="AV94" s="37">
        <f t="shared" si="21"/>
        <v>0</v>
      </c>
    </row>
    <row r="95" spans="1:37" ht="12.75">
      <c r="A95" s="6"/>
      <c r="B95" s="14"/>
      <c r="C95" s="14" t="s">
        <v>433</v>
      </c>
      <c r="D95" s="14" t="s">
        <v>823</v>
      </c>
      <c r="E95" s="6" t="s">
        <v>6</v>
      </c>
      <c r="F95" s="6" t="s">
        <v>6</v>
      </c>
      <c r="G95" s="6" t="s">
        <v>6</v>
      </c>
      <c r="H95" s="40">
        <f>SUM(H96:H96)</f>
        <v>0</v>
      </c>
      <c r="I95" s="40">
        <f>SUM(I96:I96)</f>
        <v>0</v>
      </c>
      <c r="J95" s="40">
        <f>H95+I95</f>
        <v>0</v>
      </c>
      <c r="K95" s="28"/>
      <c r="L95" s="40">
        <f>SUM(L96:L96)</f>
        <v>0</v>
      </c>
      <c r="M95" s="28"/>
      <c r="Y95" s="28"/>
      <c r="AI95" s="40">
        <f>SUM(Z96:Z96)</f>
        <v>0</v>
      </c>
      <c r="AJ95" s="40">
        <f>SUM(AA96:AA96)</f>
        <v>0</v>
      </c>
      <c r="AK95" s="40">
        <f>SUM(AB96:AB96)</f>
        <v>0</v>
      </c>
    </row>
    <row r="96" spans="1:48" ht="12.75">
      <c r="A96" s="5" t="s">
        <v>59</v>
      </c>
      <c r="B96" s="5"/>
      <c r="C96" s="5" t="s">
        <v>434</v>
      </c>
      <c r="D96" s="5" t="s">
        <v>824</v>
      </c>
      <c r="E96" s="5" t="s">
        <v>1152</v>
      </c>
      <c r="F96" s="19">
        <v>166.166</v>
      </c>
      <c r="G96" s="19">
        <v>0</v>
      </c>
      <c r="H96" s="19">
        <f>F96*AE96</f>
        <v>0</v>
      </c>
      <c r="I96" s="19">
        <f>J96-H96</f>
        <v>0</v>
      </c>
      <c r="J96" s="19">
        <f>F96*G96</f>
        <v>0</v>
      </c>
      <c r="K96" s="19">
        <v>0</v>
      </c>
      <c r="L96" s="19">
        <f>F96*K96</f>
        <v>0</v>
      </c>
      <c r="M96" s="33" t="s">
        <v>1177</v>
      </c>
      <c r="P96" s="37">
        <f>IF(AG96="5",J96,0)</f>
        <v>0</v>
      </c>
      <c r="R96" s="37">
        <f>IF(AG96="1",H96,0)</f>
        <v>0</v>
      </c>
      <c r="S96" s="37">
        <f>IF(AG96="1",I96,0)</f>
        <v>0</v>
      </c>
      <c r="T96" s="37">
        <f>IF(AG96="7",H96,0)</f>
        <v>0</v>
      </c>
      <c r="U96" s="37">
        <f>IF(AG96="7",I96,0)</f>
        <v>0</v>
      </c>
      <c r="V96" s="37">
        <f>IF(AG96="2",H96,0)</f>
        <v>0</v>
      </c>
      <c r="W96" s="37">
        <f>IF(AG96="2",I96,0)</f>
        <v>0</v>
      </c>
      <c r="X96" s="37">
        <f>IF(AG96="0",J96,0)</f>
        <v>0</v>
      </c>
      <c r="Y96" s="28"/>
      <c r="Z96" s="19">
        <f>IF(AD96=0,J96,0)</f>
        <v>0</v>
      </c>
      <c r="AA96" s="19">
        <f>IF(AD96=15,J96,0)</f>
        <v>0</v>
      </c>
      <c r="AB96" s="19">
        <f>IF(AD96=21,J96,0)</f>
        <v>0</v>
      </c>
      <c r="AD96" s="37">
        <v>21</v>
      </c>
      <c r="AE96" s="37">
        <f>G96*0</f>
        <v>0</v>
      </c>
      <c r="AF96" s="37">
        <f>G96*(1-0)</f>
        <v>0</v>
      </c>
      <c r="AG96" s="33" t="s">
        <v>11</v>
      </c>
      <c r="AM96" s="37">
        <f>F96*AE96</f>
        <v>0</v>
      </c>
      <c r="AN96" s="37">
        <f>F96*AF96</f>
        <v>0</v>
      </c>
      <c r="AO96" s="38" t="s">
        <v>1205</v>
      </c>
      <c r="AP96" s="38" t="s">
        <v>1227</v>
      </c>
      <c r="AQ96" s="28" t="s">
        <v>1234</v>
      </c>
      <c r="AS96" s="37">
        <f>AM96+AN96</f>
        <v>0</v>
      </c>
      <c r="AT96" s="37">
        <f>G96/(100-AU96)*100</f>
        <v>0</v>
      </c>
      <c r="AU96" s="37">
        <v>0</v>
      </c>
      <c r="AV96" s="37">
        <f>L96</f>
        <v>0</v>
      </c>
    </row>
    <row r="97" spans="1:37" ht="12.75">
      <c r="A97" s="6"/>
      <c r="B97" s="14"/>
      <c r="C97" s="14" t="s">
        <v>435</v>
      </c>
      <c r="D97" s="14" t="s">
        <v>825</v>
      </c>
      <c r="E97" s="6" t="s">
        <v>6</v>
      </c>
      <c r="F97" s="6" t="s">
        <v>6</v>
      </c>
      <c r="G97" s="6" t="s">
        <v>6</v>
      </c>
      <c r="H97" s="40">
        <f>SUM(H98:H115)</f>
        <v>0</v>
      </c>
      <c r="I97" s="40">
        <f>SUM(I98:I115)</f>
        <v>0</v>
      </c>
      <c r="J97" s="40">
        <f>H97+I97</f>
        <v>0</v>
      </c>
      <c r="K97" s="28"/>
      <c r="L97" s="40">
        <f>SUM(L98:L115)</f>
        <v>0.4953300720000001</v>
      </c>
      <c r="M97" s="28"/>
      <c r="Y97" s="28"/>
      <c r="AI97" s="40">
        <f>SUM(Z98:Z115)</f>
        <v>0</v>
      </c>
      <c r="AJ97" s="40">
        <f>SUM(AA98:AA115)</f>
        <v>0</v>
      </c>
      <c r="AK97" s="40">
        <f>SUM(AB98:AB115)</f>
        <v>0</v>
      </c>
    </row>
    <row r="98" spans="1:48" ht="12.75">
      <c r="A98" s="5" t="s">
        <v>60</v>
      </c>
      <c r="B98" s="5"/>
      <c r="C98" s="5" t="s">
        <v>436</v>
      </c>
      <c r="D98" s="5" t="s">
        <v>826</v>
      </c>
      <c r="E98" s="5" t="s">
        <v>1151</v>
      </c>
      <c r="F98" s="19">
        <v>51.726</v>
      </c>
      <c r="G98" s="19">
        <v>0</v>
      </c>
      <c r="H98" s="19">
        <f>F98*AE98</f>
        <v>0</v>
      </c>
      <c r="I98" s="19">
        <f>J98-H98</f>
        <v>0</v>
      </c>
      <c r="J98" s="19">
        <f>F98*G98</f>
        <v>0</v>
      </c>
      <c r="K98" s="19">
        <v>0.00044</v>
      </c>
      <c r="L98" s="19">
        <f>F98*K98</f>
        <v>0.02275944</v>
      </c>
      <c r="M98" s="33" t="s">
        <v>1177</v>
      </c>
      <c r="P98" s="37">
        <f>IF(AG98="5",J98,0)</f>
        <v>0</v>
      </c>
      <c r="R98" s="37">
        <f>IF(AG98="1",H98,0)</f>
        <v>0</v>
      </c>
      <c r="S98" s="37">
        <f>IF(AG98="1",I98,0)</f>
        <v>0</v>
      </c>
      <c r="T98" s="37">
        <f>IF(AG98="7",H98,0)</f>
        <v>0</v>
      </c>
      <c r="U98" s="37">
        <f>IF(AG98="7",I98,0)</f>
        <v>0</v>
      </c>
      <c r="V98" s="37">
        <f>IF(AG98="2",H98,0)</f>
        <v>0</v>
      </c>
      <c r="W98" s="37">
        <f>IF(AG98="2",I98,0)</f>
        <v>0</v>
      </c>
      <c r="X98" s="37">
        <f>IF(AG98="0",J98,0)</f>
        <v>0</v>
      </c>
      <c r="Y98" s="28"/>
      <c r="Z98" s="19">
        <f>IF(AD98=0,J98,0)</f>
        <v>0</v>
      </c>
      <c r="AA98" s="19">
        <f>IF(AD98=15,J98,0)</f>
        <v>0</v>
      </c>
      <c r="AB98" s="19">
        <f>IF(AD98=21,J98,0)</f>
        <v>0</v>
      </c>
      <c r="AD98" s="37">
        <v>21</v>
      </c>
      <c r="AE98" s="37">
        <f>G98*0.596873016712103</f>
        <v>0</v>
      </c>
      <c r="AF98" s="37">
        <f>G98*(1-0.596873016712103)</f>
        <v>0</v>
      </c>
      <c r="AG98" s="33" t="s">
        <v>13</v>
      </c>
      <c r="AM98" s="37">
        <f>F98*AE98</f>
        <v>0</v>
      </c>
      <c r="AN98" s="37">
        <f>F98*AF98</f>
        <v>0</v>
      </c>
      <c r="AO98" s="38" t="s">
        <v>1206</v>
      </c>
      <c r="AP98" s="38" t="s">
        <v>1228</v>
      </c>
      <c r="AQ98" s="28" t="s">
        <v>1234</v>
      </c>
      <c r="AS98" s="37">
        <f>AM98+AN98</f>
        <v>0</v>
      </c>
      <c r="AT98" s="37">
        <f>G98/(100-AU98)*100</f>
        <v>0</v>
      </c>
      <c r="AU98" s="37">
        <v>0</v>
      </c>
      <c r="AV98" s="37">
        <f>L98</f>
        <v>0.02275944</v>
      </c>
    </row>
    <row r="99" ht="12.75">
      <c r="D99" s="16" t="s">
        <v>827</v>
      </c>
    </row>
    <row r="100" spans="1:48" ht="12.75">
      <c r="A100" s="5" t="s">
        <v>61</v>
      </c>
      <c r="B100" s="5"/>
      <c r="C100" s="5" t="s">
        <v>437</v>
      </c>
      <c r="D100" s="5" t="s">
        <v>828</v>
      </c>
      <c r="E100" s="5" t="s">
        <v>1151</v>
      </c>
      <c r="F100" s="19">
        <v>15.1632</v>
      </c>
      <c r="G100" s="19">
        <v>0</v>
      </c>
      <c r="H100" s="19">
        <f>F100*AE100</f>
        <v>0</v>
      </c>
      <c r="I100" s="19">
        <f>J100-H100</f>
        <v>0</v>
      </c>
      <c r="J100" s="19">
        <f>F100*G100</f>
        <v>0</v>
      </c>
      <c r="K100" s="19">
        <v>0.00064</v>
      </c>
      <c r="L100" s="19">
        <f>F100*K100</f>
        <v>0.009704448000000001</v>
      </c>
      <c r="M100" s="33" t="s">
        <v>1177</v>
      </c>
      <c r="P100" s="37">
        <f>IF(AG100="5",J100,0)</f>
        <v>0</v>
      </c>
      <c r="R100" s="37">
        <f>IF(AG100="1",H100,0)</f>
        <v>0</v>
      </c>
      <c r="S100" s="37">
        <f>IF(AG100="1",I100,0)</f>
        <v>0</v>
      </c>
      <c r="T100" s="37">
        <f>IF(AG100="7",H100,0)</f>
        <v>0</v>
      </c>
      <c r="U100" s="37">
        <f>IF(AG100="7",I100,0)</f>
        <v>0</v>
      </c>
      <c r="V100" s="37">
        <f>IF(AG100="2",H100,0)</f>
        <v>0</v>
      </c>
      <c r="W100" s="37">
        <f>IF(AG100="2",I100,0)</f>
        <v>0</v>
      </c>
      <c r="X100" s="37">
        <f>IF(AG100="0",J100,0)</f>
        <v>0</v>
      </c>
      <c r="Y100" s="28"/>
      <c r="Z100" s="19">
        <f>IF(AD100=0,J100,0)</f>
        <v>0</v>
      </c>
      <c r="AA100" s="19">
        <f>IF(AD100=15,J100,0)</f>
        <v>0</v>
      </c>
      <c r="AB100" s="19">
        <f>IF(AD100=21,J100,0)</f>
        <v>0</v>
      </c>
      <c r="AD100" s="37">
        <v>21</v>
      </c>
      <c r="AE100" s="37">
        <f>G100*0.529093809311727</f>
        <v>0</v>
      </c>
      <c r="AF100" s="37">
        <f>G100*(1-0.529093809311727)</f>
        <v>0</v>
      </c>
      <c r="AG100" s="33" t="s">
        <v>13</v>
      </c>
      <c r="AM100" s="37">
        <f>F100*AE100</f>
        <v>0</v>
      </c>
      <c r="AN100" s="37">
        <f>F100*AF100</f>
        <v>0</v>
      </c>
      <c r="AO100" s="38" t="s">
        <v>1206</v>
      </c>
      <c r="AP100" s="38" t="s">
        <v>1228</v>
      </c>
      <c r="AQ100" s="28" t="s">
        <v>1234</v>
      </c>
      <c r="AS100" s="37">
        <f>AM100+AN100</f>
        <v>0</v>
      </c>
      <c r="AT100" s="37">
        <f>G100/(100-AU100)*100</f>
        <v>0</v>
      </c>
      <c r="AU100" s="37">
        <v>0</v>
      </c>
      <c r="AV100" s="37">
        <f>L100</f>
        <v>0.009704448000000001</v>
      </c>
    </row>
    <row r="101" ht="12.75">
      <c r="D101" s="16" t="s">
        <v>827</v>
      </c>
    </row>
    <row r="102" spans="1:48" ht="12.75">
      <c r="A102" s="5" t="s">
        <v>62</v>
      </c>
      <c r="B102" s="5"/>
      <c r="C102" s="5" t="s">
        <v>438</v>
      </c>
      <c r="D102" s="5" t="s">
        <v>829</v>
      </c>
      <c r="E102" s="5" t="s">
        <v>1151</v>
      </c>
      <c r="F102" s="19">
        <v>51.726</v>
      </c>
      <c r="G102" s="19">
        <v>0</v>
      </c>
      <c r="H102" s="19">
        <f>F102*AE102</f>
        <v>0</v>
      </c>
      <c r="I102" s="19">
        <f>J102-H102</f>
        <v>0</v>
      </c>
      <c r="J102" s="19">
        <f>F102*G102</f>
        <v>0</v>
      </c>
      <c r="K102" s="19">
        <v>0.00041</v>
      </c>
      <c r="L102" s="19">
        <f>F102*K102</f>
        <v>0.02120766</v>
      </c>
      <c r="M102" s="33" t="s">
        <v>1177</v>
      </c>
      <c r="P102" s="37">
        <f>IF(AG102="5",J102,0)</f>
        <v>0</v>
      </c>
      <c r="R102" s="37">
        <f>IF(AG102="1",H102,0)</f>
        <v>0</v>
      </c>
      <c r="S102" s="37">
        <f>IF(AG102="1",I102,0)</f>
        <v>0</v>
      </c>
      <c r="T102" s="37">
        <f>IF(AG102="7",H102,0)</f>
        <v>0</v>
      </c>
      <c r="U102" s="37">
        <f>IF(AG102="7",I102,0)</f>
        <v>0</v>
      </c>
      <c r="V102" s="37">
        <f>IF(AG102="2",H102,0)</f>
        <v>0</v>
      </c>
      <c r="W102" s="37">
        <f>IF(AG102="2",I102,0)</f>
        <v>0</v>
      </c>
      <c r="X102" s="37">
        <f>IF(AG102="0",J102,0)</f>
        <v>0</v>
      </c>
      <c r="Y102" s="28"/>
      <c r="Z102" s="19">
        <f>IF(AD102=0,J102,0)</f>
        <v>0</v>
      </c>
      <c r="AA102" s="19">
        <f>IF(AD102=15,J102,0)</f>
        <v>0</v>
      </c>
      <c r="AB102" s="19">
        <f>IF(AD102=21,J102,0)</f>
        <v>0</v>
      </c>
      <c r="AD102" s="37">
        <v>21</v>
      </c>
      <c r="AE102" s="37">
        <f>G102*0.0847296176933675</f>
        <v>0</v>
      </c>
      <c r="AF102" s="37">
        <f>G102*(1-0.0847296176933675)</f>
        <v>0</v>
      </c>
      <c r="AG102" s="33" t="s">
        <v>13</v>
      </c>
      <c r="AM102" s="37">
        <f>F102*AE102</f>
        <v>0</v>
      </c>
      <c r="AN102" s="37">
        <f>F102*AF102</f>
        <v>0</v>
      </c>
      <c r="AO102" s="38" t="s">
        <v>1206</v>
      </c>
      <c r="AP102" s="38" t="s">
        <v>1228</v>
      </c>
      <c r="AQ102" s="28" t="s">
        <v>1234</v>
      </c>
      <c r="AS102" s="37">
        <f>AM102+AN102</f>
        <v>0</v>
      </c>
      <c r="AT102" s="37">
        <f>G102/(100-AU102)*100</f>
        <v>0</v>
      </c>
      <c r="AU102" s="37">
        <v>0</v>
      </c>
      <c r="AV102" s="37">
        <f>L102</f>
        <v>0.02120766</v>
      </c>
    </row>
    <row r="103" ht="12.75">
      <c r="D103" s="16" t="s">
        <v>827</v>
      </c>
    </row>
    <row r="104" spans="1:48" ht="12.75">
      <c r="A104" s="7" t="s">
        <v>63</v>
      </c>
      <c r="B104" s="7"/>
      <c r="C104" s="7" t="s">
        <v>439</v>
      </c>
      <c r="D104" s="7" t="s">
        <v>830</v>
      </c>
      <c r="E104" s="7" t="s">
        <v>1151</v>
      </c>
      <c r="F104" s="20">
        <v>56.8986</v>
      </c>
      <c r="G104" s="20">
        <v>0</v>
      </c>
      <c r="H104" s="20">
        <f>F104*AE104</f>
        <v>0</v>
      </c>
      <c r="I104" s="20">
        <f>J104-H104</f>
        <v>0</v>
      </c>
      <c r="J104" s="20">
        <f>F104*G104</f>
        <v>0</v>
      </c>
      <c r="K104" s="20">
        <v>0.0046</v>
      </c>
      <c r="L104" s="20">
        <f>F104*K104</f>
        <v>0.26173356000000003</v>
      </c>
      <c r="M104" s="34" t="s">
        <v>1177</v>
      </c>
      <c r="P104" s="37">
        <f>IF(AG104="5",J104,0)</f>
        <v>0</v>
      </c>
      <c r="R104" s="37">
        <f>IF(AG104="1",H104,0)</f>
        <v>0</v>
      </c>
      <c r="S104" s="37">
        <f>IF(AG104="1",I104,0)</f>
        <v>0</v>
      </c>
      <c r="T104" s="37">
        <f>IF(AG104="7",H104,0)</f>
        <v>0</v>
      </c>
      <c r="U104" s="37">
        <f>IF(AG104="7",I104,0)</f>
        <v>0</v>
      </c>
      <c r="V104" s="37">
        <f>IF(AG104="2",H104,0)</f>
        <v>0</v>
      </c>
      <c r="W104" s="37">
        <f>IF(AG104="2",I104,0)</f>
        <v>0</v>
      </c>
      <c r="X104" s="37">
        <f>IF(AG104="0",J104,0)</f>
        <v>0</v>
      </c>
      <c r="Y104" s="28"/>
      <c r="Z104" s="20">
        <f>IF(AD104=0,J104,0)</f>
        <v>0</v>
      </c>
      <c r="AA104" s="20">
        <f>IF(AD104=15,J104,0)</f>
        <v>0</v>
      </c>
      <c r="AB104" s="20">
        <f>IF(AD104=21,J104,0)</f>
        <v>0</v>
      </c>
      <c r="AD104" s="37">
        <v>21</v>
      </c>
      <c r="AE104" s="37">
        <f>G104*1</f>
        <v>0</v>
      </c>
      <c r="AF104" s="37">
        <f>G104*(1-1)</f>
        <v>0</v>
      </c>
      <c r="AG104" s="34" t="s">
        <v>13</v>
      </c>
      <c r="AM104" s="37">
        <f>F104*AE104</f>
        <v>0</v>
      </c>
      <c r="AN104" s="37">
        <f>F104*AF104</f>
        <v>0</v>
      </c>
      <c r="AO104" s="38" t="s">
        <v>1206</v>
      </c>
      <c r="AP104" s="38" t="s">
        <v>1228</v>
      </c>
      <c r="AQ104" s="28" t="s">
        <v>1234</v>
      </c>
      <c r="AS104" s="37">
        <f>AM104+AN104</f>
        <v>0</v>
      </c>
      <c r="AT104" s="37">
        <f>G104/(100-AU104)*100</f>
        <v>0</v>
      </c>
      <c r="AU104" s="37">
        <v>0</v>
      </c>
      <c r="AV104" s="37">
        <f>L104</f>
        <v>0.26173356000000003</v>
      </c>
    </row>
    <row r="105" spans="1:48" ht="12.75">
      <c r="A105" s="5" t="s">
        <v>64</v>
      </c>
      <c r="B105" s="5"/>
      <c r="C105" s="5" t="s">
        <v>440</v>
      </c>
      <c r="D105" s="5" t="s">
        <v>831</v>
      </c>
      <c r="E105" s="5" t="s">
        <v>1151</v>
      </c>
      <c r="F105" s="19">
        <v>15.1632</v>
      </c>
      <c r="G105" s="19">
        <v>0</v>
      </c>
      <c r="H105" s="19">
        <f>F105*AE105</f>
        <v>0</v>
      </c>
      <c r="I105" s="19">
        <f>J105-H105</f>
        <v>0</v>
      </c>
      <c r="J105" s="19">
        <f>F105*G105</f>
        <v>0</v>
      </c>
      <c r="K105" s="19">
        <v>0.00058</v>
      </c>
      <c r="L105" s="19">
        <f>F105*K105</f>
        <v>0.008794656</v>
      </c>
      <c r="M105" s="33" t="s">
        <v>1177</v>
      </c>
      <c r="P105" s="37">
        <f>IF(AG105="5",J105,0)</f>
        <v>0</v>
      </c>
      <c r="R105" s="37">
        <f>IF(AG105="1",H105,0)</f>
        <v>0</v>
      </c>
      <c r="S105" s="37">
        <f>IF(AG105="1",I105,0)</f>
        <v>0</v>
      </c>
      <c r="T105" s="37">
        <f>IF(AG105="7",H105,0)</f>
        <v>0</v>
      </c>
      <c r="U105" s="37">
        <f>IF(AG105="7",I105,0)</f>
        <v>0</v>
      </c>
      <c r="V105" s="37">
        <f>IF(AG105="2",H105,0)</f>
        <v>0</v>
      </c>
      <c r="W105" s="37">
        <f>IF(AG105="2",I105,0)</f>
        <v>0</v>
      </c>
      <c r="X105" s="37">
        <f>IF(AG105="0",J105,0)</f>
        <v>0</v>
      </c>
      <c r="Y105" s="28"/>
      <c r="Z105" s="19">
        <f>IF(AD105=0,J105,0)</f>
        <v>0</v>
      </c>
      <c r="AA105" s="19">
        <f>IF(AD105=15,J105,0)</f>
        <v>0</v>
      </c>
      <c r="AB105" s="19">
        <f>IF(AD105=21,J105,0)</f>
        <v>0</v>
      </c>
      <c r="AD105" s="37">
        <v>21</v>
      </c>
      <c r="AE105" s="37">
        <f>G105*0.10789217247294</f>
        <v>0</v>
      </c>
      <c r="AF105" s="37">
        <f>G105*(1-0.10789217247294)</f>
        <v>0</v>
      </c>
      <c r="AG105" s="33" t="s">
        <v>13</v>
      </c>
      <c r="AM105" s="37">
        <f>F105*AE105</f>
        <v>0</v>
      </c>
      <c r="AN105" s="37">
        <f>F105*AF105</f>
        <v>0</v>
      </c>
      <c r="AO105" s="38" t="s">
        <v>1206</v>
      </c>
      <c r="AP105" s="38" t="s">
        <v>1228</v>
      </c>
      <c r="AQ105" s="28" t="s">
        <v>1234</v>
      </c>
      <c r="AS105" s="37">
        <f>AM105+AN105</f>
        <v>0</v>
      </c>
      <c r="AT105" s="37">
        <f>G105/(100-AU105)*100</f>
        <v>0</v>
      </c>
      <c r="AU105" s="37">
        <v>0</v>
      </c>
      <c r="AV105" s="37">
        <f>L105</f>
        <v>0.008794656</v>
      </c>
    </row>
    <row r="106" ht="12.75">
      <c r="D106" s="16" t="s">
        <v>827</v>
      </c>
    </row>
    <row r="107" spans="1:48" ht="12.75">
      <c r="A107" s="7" t="s">
        <v>65</v>
      </c>
      <c r="B107" s="7"/>
      <c r="C107" s="7" t="s">
        <v>439</v>
      </c>
      <c r="D107" s="7" t="s">
        <v>830</v>
      </c>
      <c r="E107" s="7" t="s">
        <v>1151</v>
      </c>
      <c r="F107" s="20">
        <v>17.43768</v>
      </c>
      <c r="G107" s="20">
        <v>0</v>
      </c>
      <c r="H107" s="20">
        <f>F107*AE107</f>
        <v>0</v>
      </c>
      <c r="I107" s="20">
        <f>J107-H107</f>
        <v>0</v>
      </c>
      <c r="J107" s="20">
        <f>F107*G107</f>
        <v>0</v>
      </c>
      <c r="K107" s="20">
        <v>0.0046</v>
      </c>
      <c r="L107" s="20">
        <f>F107*K107</f>
        <v>0.080213328</v>
      </c>
      <c r="M107" s="34" t="s">
        <v>1177</v>
      </c>
      <c r="P107" s="37">
        <f>IF(AG107="5",J107,0)</f>
        <v>0</v>
      </c>
      <c r="R107" s="37">
        <f>IF(AG107="1",H107,0)</f>
        <v>0</v>
      </c>
      <c r="S107" s="37">
        <f>IF(AG107="1",I107,0)</f>
        <v>0</v>
      </c>
      <c r="T107" s="37">
        <f>IF(AG107="7",H107,0)</f>
        <v>0</v>
      </c>
      <c r="U107" s="37">
        <f>IF(AG107="7",I107,0)</f>
        <v>0</v>
      </c>
      <c r="V107" s="37">
        <f>IF(AG107="2",H107,0)</f>
        <v>0</v>
      </c>
      <c r="W107" s="37">
        <f>IF(AG107="2",I107,0)</f>
        <v>0</v>
      </c>
      <c r="X107" s="37">
        <f>IF(AG107="0",J107,0)</f>
        <v>0</v>
      </c>
      <c r="Y107" s="28"/>
      <c r="Z107" s="20">
        <f>IF(AD107=0,J107,0)</f>
        <v>0</v>
      </c>
      <c r="AA107" s="20">
        <f>IF(AD107=15,J107,0)</f>
        <v>0</v>
      </c>
      <c r="AB107" s="20">
        <f>IF(AD107=21,J107,0)</f>
        <v>0</v>
      </c>
      <c r="AD107" s="37">
        <v>21</v>
      </c>
      <c r="AE107" s="37">
        <f>G107*1</f>
        <v>0</v>
      </c>
      <c r="AF107" s="37">
        <f>G107*(1-1)</f>
        <v>0</v>
      </c>
      <c r="AG107" s="34" t="s">
        <v>13</v>
      </c>
      <c r="AM107" s="37">
        <f>F107*AE107</f>
        <v>0</v>
      </c>
      <c r="AN107" s="37">
        <f>F107*AF107</f>
        <v>0</v>
      </c>
      <c r="AO107" s="38" t="s">
        <v>1206</v>
      </c>
      <c r="AP107" s="38" t="s">
        <v>1228</v>
      </c>
      <c r="AQ107" s="28" t="s">
        <v>1234</v>
      </c>
      <c r="AS107" s="37">
        <f>AM107+AN107</f>
        <v>0</v>
      </c>
      <c r="AT107" s="37">
        <f>G107/(100-AU107)*100</f>
        <v>0</v>
      </c>
      <c r="AU107" s="37">
        <v>0</v>
      </c>
      <c r="AV107" s="37">
        <f>L107</f>
        <v>0.080213328</v>
      </c>
    </row>
    <row r="108" spans="1:48" ht="12.75">
      <c r="A108" s="5" t="s">
        <v>66</v>
      </c>
      <c r="B108" s="5"/>
      <c r="C108" s="5" t="s">
        <v>441</v>
      </c>
      <c r="D108" s="5" t="s">
        <v>832</v>
      </c>
      <c r="E108" s="5" t="s">
        <v>1151</v>
      </c>
      <c r="F108" s="19">
        <v>40.91</v>
      </c>
      <c r="G108" s="19">
        <v>0</v>
      </c>
      <c r="H108" s="19">
        <f>F108*AE108</f>
        <v>0</v>
      </c>
      <c r="I108" s="19">
        <f>J108-H108</f>
        <v>0</v>
      </c>
      <c r="J108" s="19">
        <f>F108*G108</f>
        <v>0</v>
      </c>
      <c r="K108" s="19">
        <v>0.00021</v>
      </c>
      <c r="L108" s="19">
        <f>F108*K108</f>
        <v>0.008591099999999999</v>
      </c>
      <c r="M108" s="33" t="s">
        <v>1177</v>
      </c>
      <c r="P108" s="37">
        <f>IF(AG108="5",J108,0)</f>
        <v>0</v>
      </c>
      <c r="R108" s="37">
        <f>IF(AG108="1",H108,0)</f>
        <v>0</v>
      </c>
      <c r="S108" s="37">
        <f>IF(AG108="1",I108,0)</f>
        <v>0</v>
      </c>
      <c r="T108" s="37">
        <f>IF(AG108="7",H108,0)</f>
        <v>0</v>
      </c>
      <c r="U108" s="37">
        <f>IF(AG108="7",I108,0)</f>
        <v>0</v>
      </c>
      <c r="V108" s="37">
        <f>IF(AG108="2",H108,0)</f>
        <v>0</v>
      </c>
      <c r="W108" s="37">
        <f>IF(AG108="2",I108,0)</f>
        <v>0</v>
      </c>
      <c r="X108" s="37">
        <f>IF(AG108="0",J108,0)</f>
        <v>0</v>
      </c>
      <c r="Y108" s="28"/>
      <c r="Z108" s="19">
        <f>IF(AD108=0,J108,0)</f>
        <v>0</v>
      </c>
      <c r="AA108" s="19">
        <f>IF(AD108=15,J108,0)</f>
        <v>0</v>
      </c>
      <c r="AB108" s="19">
        <f>IF(AD108=21,J108,0)</f>
        <v>0</v>
      </c>
      <c r="AD108" s="37">
        <v>21</v>
      </c>
      <c r="AE108" s="37">
        <f>G108*0.593931915524818</f>
        <v>0</v>
      </c>
      <c r="AF108" s="37">
        <f>G108*(1-0.593931915524818)</f>
        <v>0</v>
      </c>
      <c r="AG108" s="33" t="s">
        <v>13</v>
      </c>
      <c r="AM108" s="37">
        <f>F108*AE108</f>
        <v>0</v>
      </c>
      <c r="AN108" s="37">
        <f>F108*AF108</f>
        <v>0</v>
      </c>
      <c r="AO108" s="38" t="s">
        <v>1206</v>
      </c>
      <c r="AP108" s="38" t="s">
        <v>1228</v>
      </c>
      <c r="AQ108" s="28" t="s">
        <v>1234</v>
      </c>
      <c r="AS108" s="37">
        <f>AM108+AN108</f>
        <v>0</v>
      </c>
      <c r="AT108" s="37">
        <f>G108/(100-AU108)*100</f>
        <v>0</v>
      </c>
      <c r="AU108" s="37">
        <v>0</v>
      </c>
      <c r="AV108" s="37">
        <f>L108</f>
        <v>0.008591099999999999</v>
      </c>
    </row>
    <row r="109" spans="1:48" ht="12.75">
      <c r="A109" s="5" t="s">
        <v>67</v>
      </c>
      <c r="B109" s="5"/>
      <c r="C109" s="5" t="s">
        <v>442</v>
      </c>
      <c r="D109" s="5" t="s">
        <v>833</v>
      </c>
      <c r="E109" s="5" t="s">
        <v>1151</v>
      </c>
      <c r="F109" s="19">
        <v>15.624</v>
      </c>
      <c r="G109" s="19">
        <v>0</v>
      </c>
      <c r="H109" s="19">
        <f>F109*AE109</f>
        <v>0</v>
      </c>
      <c r="I109" s="19">
        <f>J109-H109</f>
        <v>0</v>
      </c>
      <c r="J109" s="19">
        <f>F109*G109</f>
        <v>0</v>
      </c>
      <c r="K109" s="19">
        <v>0.00021</v>
      </c>
      <c r="L109" s="19">
        <f>F109*K109</f>
        <v>0.0032810400000000003</v>
      </c>
      <c r="M109" s="33" t="s">
        <v>1177</v>
      </c>
      <c r="P109" s="37">
        <f>IF(AG109="5",J109,0)</f>
        <v>0</v>
      </c>
      <c r="R109" s="37">
        <f>IF(AG109="1",H109,0)</f>
        <v>0</v>
      </c>
      <c r="S109" s="37">
        <f>IF(AG109="1",I109,0)</f>
        <v>0</v>
      </c>
      <c r="T109" s="37">
        <f>IF(AG109="7",H109,0)</f>
        <v>0</v>
      </c>
      <c r="U109" s="37">
        <f>IF(AG109="7",I109,0)</f>
        <v>0</v>
      </c>
      <c r="V109" s="37">
        <f>IF(AG109="2",H109,0)</f>
        <v>0</v>
      </c>
      <c r="W109" s="37">
        <f>IF(AG109="2",I109,0)</f>
        <v>0</v>
      </c>
      <c r="X109" s="37">
        <f>IF(AG109="0",J109,0)</f>
        <v>0</v>
      </c>
      <c r="Y109" s="28"/>
      <c r="Z109" s="19">
        <f>IF(AD109=0,J109,0)</f>
        <v>0</v>
      </c>
      <c r="AA109" s="19">
        <f>IF(AD109=15,J109,0)</f>
        <v>0</v>
      </c>
      <c r="AB109" s="19">
        <f>IF(AD109=21,J109,0)</f>
        <v>0</v>
      </c>
      <c r="AD109" s="37">
        <v>21</v>
      </c>
      <c r="AE109" s="37">
        <f>G109*0.593915214755484</f>
        <v>0</v>
      </c>
      <c r="AF109" s="37">
        <f>G109*(1-0.593915214755484)</f>
        <v>0</v>
      </c>
      <c r="AG109" s="33" t="s">
        <v>13</v>
      </c>
      <c r="AM109" s="37">
        <f>F109*AE109</f>
        <v>0</v>
      </c>
      <c r="AN109" s="37">
        <f>F109*AF109</f>
        <v>0</v>
      </c>
      <c r="AO109" s="38" t="s">
        <v>1206</v>
      </c>
      <c r="AP109" s="38" t="s">
        <v>1228</v>
      </c>
      <c r="AQ109" s="28" t="s">
        <v>1234</v>
      </c>
      <c r="AS109" s="37">
        <f>AM109+AN109</f>
        <v>0</v>
      </c>
      <c r="AT109" s="37">
        <f>G109/(100-AU109)*100</f>
        <v>0</v>
      </c>
      <c r="AU109" s="37">
        <v>0</v>
      </c>
      <c r="AV109" s="37">
        <f>L109</f>
        <v>0.0032810400000000003</v>
      </c>
    </row>
    <row r="110" spans="1:48" ht="12.75">
      <c r="A110" s="5" t="s">
        <v>68</v>
      </c>
      <c r="B110" s="5"/>
      <c r="C110" s="5" t="s">
        <v>443</v>
      </c>
      <c r="D110" s="5" t="s">
        <v>834</v>
      </c>
      <c r="E110" s="5" t="s">
        <v>1151</v>
      </c>
      <c r="F110" s="19">
        <v>40.91</v>
      </c>
      <c r="G110" s="19">
        <v>0</v>
      </c>
      <c r="H110" s="19">
        <f>F110*AE110</f>
        <v>0</v>
      </c>
      <c r="I110" s="19">
        <f>J110-H110</f>
        <v>0</v>
      </c>
      <c r="J110" s="19">
        <f>F110*G110</f>
        <v>0</v>
      </c>
      <c r="K110" s="19">
        <v>0.00126</v>
      </c>
      <c r="L110" s="19">
        <f>F110*K110</f>
        <v>0.0515466</v>
      </c>
      <c r="M110" s="33" t="s">
        <v>1177</v>
      </c>
      <c r="P110" s="37">
        <f>IF(AG110="5",J110,0)</f>
        <v>0</v>
      </c>
      <c r="R110" s="37">
        <f>IF(AG110="1",H110,0)</f>
        <v>0</v>
      </c>
      <c r="S110" s="37">
        <f>IF(AG110="1",I110,0)</f>
        <v>0</v>
      </c>
      <c r="T110" s="37">
        <f>IF(AG110="7",H110,0)</f>
        <v>0</v>
      </c>
      <c r="U110" s="37">
        <f>IF(AG110="7",I110,0)</f>
        <v>0</v>
      </c>
      <c r="V110" s="37">
        <f>IF(AG110="2",H110,0)</f>
        <v>0</v>
      </c>
      <c r="W110" s="37">
        <f>IF(AG110="2",I110,0)</f>
        <v>0</v>
      </c>
      <c r="X110" s="37">
        <f>IF(AG110="0",J110,0)</f>
        <v>0</v>
      </c>
      <c r="Y110" s="28"/>
      <c r="Z110" s="19">
        <f>IF(AD110=0,J110,0)</f>
        <v>0</v>
      </c>
      <c r="AA110" s="19">
        <f>IF(AD110=15,J110,0)</f>
        <v>0</v>
      </c>
      <c r="AB110" s="19">
        <f>IF(AD110=21,J110,0)</f>
        <v>0</v>
      </c>
      <c r="AD110" s="37">
        <v>21</v>
      </c>
      <c r="AE110" s="37">
        <f>G110*0.478680653190516</f>
        <v>0</v>
      </c>
      <c r="AF110" s="37">
        <f>G110*(1-0.478680653190516)</f>
        <v>0</v>
      </c>
      <c r="AG110" s="33" t="s">
        <v>13</v>
      </c>
      <c r="AM110" s="37">
        <f>F110*AE110</f>
        <v>0</v>
      </c>
      <c r="AN110" s="37">
        <f>F110*AF110</f>
        <v>0</v>
      </c>
      <c r="AO110" s="38" t="s">
        <v>1206</v>
      </c>
      <c r="AP110" s="38" t="s">
        <v>1228</v>
      </c>
      <c r="AQ110" s="28" t="s">
        <v>1234</v>
      </c>
      <c r="AS110" s="37">
        <f>AM110+AN110</f>
        <v>0</v>
      </c>
      <c r="AT110" s="37">
        <f>G110/(100-AU110)*100</f>
        <v>0</v>
      </c>
      <c r="AU110" s="37">
        <v>0</v>
      </c>
      <c r="AV110" s="37">
        <f>L110</f>
        <v>0.0515466</v>
      </c>
    </row>
    <row r="111" ht="12.75">
      <c r="D111" s="16" t="s">
        <v>835</v>
      </c>
    </row>
    <row r="112" spans="1:48" ht="12.75">
      <c r="A112" s="5" t="s">
        <v>69</v>
      </c>
      <c r="B112" s="5"/>
      <c r="C112" s="5" t="s">
        <v>444</v>
      </c>
      <c r="D112" s="5" t="s">
        <v>836</v>
      </c>
      <c r="E112" s="5" t="s">
        <v>1151</v>
      </c>
      <c r="F112" s="19">
        <v>15.624</v>
      </c>
      <c r="G112" s="19">
        <v>0</v>
      </c>
      <c r="H112" s="19">
        <f>F112*AE112</f>
        <v>0</v>
      </c>
      <c r="I112" s="19">
        <f>J112-H112</f>
        <v>0</v>
      </c>
      <c r="J112" s="19">
        <f>F112*G112</f>
        <v>0</v>
      </c>
      <c r="K112" s="19">
        <v>0.00126</v>
      </c>
      <c r="L112" s="19">
        <f>F112*K112</f>
        <v>0.01968624</v>
      </c>
      <c r="M112" s="33" t="s">
        <v>1177</v>
      </c>
      <c r="P112" s="37">
        <f>IF(AG112="5",J112,0)</f>
        <v>0</v>
      </c>
      <c r="R112" s="37">
        <f>IF(AG112="1",H112,0)</f>
        <v>0</v>
      </c>
      <c r="S112" s="37">
        <f>IF(AG112="1",I112,0)</f>
        <v>0</v>
      </c>
      <c r="T112" s="37">
        <f>IF(AG112="7",H112,0)</f>
        <v>0</v>
      </c>
      <c r="U112" s="37">
        <f>IF(AG112="7",I112,0)</f>
        <v>0</v>
      </c>
      <c r="V112" s="37">
        <f>IF(AG112="2",H112,0)</f>
        <v>0</v>
      </c>
      <c r="W112" s="37">
        <f>IF(AG112="2",I112,0)</f>
        <v>0</v>
      </c>
      <c r="X112" s="37">
        <f>IF(AG112="0",J112,0)</f>
        <v>0</v>
      </c>
      <c r="Y112" s="28"/>
      <c r="Z112" s="19">
        <f>IF(AD112=0,J112,0)</f>
        <v>0</v>
      </c>
      <c r="AA112" s="19">
        <f>IF(AD112=15,J112,0)</f>
        <v>0</v>
      </c>
      <c r="AB112" s="19">
        <f>IF(AD112=21,J112,0)</f>
        <v>0</v>
      </c>
      <c r="AD112" s="37">
        <v>21</v>
      </c>
      <c r="AE112" s="37">
        <f>G112*0.478694353021917</f>
        <v>0</v>
      </c>
      <c r="AF112" s="37">
        <f>G112*(1-0.478694353021917)</f>
        <v>0</v>
      </c>
      <c r="AG112" s="33" t="s">
        <v>13</v>
      </c>
      <c r="AM112" s="37">
        <f>F112*AE112</f>
        <v>0</v>
      </c>
      <c r="AN112" s="37">
        <f>F112*AF112</f>
        <v>0</v>
      </c>
      <c r="AO112" s="38" t="s">
        <v>1206</v>
      </c>
      <c r="AP112" s="38" t="s">
        <v>1228</v>
      </c>
      <c r="AQ112" s="28" t="s">
        <v>1234</v>
      </c>
      <c r="AS112" s="37">
        <f>AM112+AN112</f>
        <v>0</v>
      </c>
      <c r="AT112" s="37">
        <f>G112/(100-AU112)*100</f>
        <v>0</v>
      </c>
      <c r="AU112" s="37">
        <v>0</v>
      </c>
      <c r="AV112" s="37">
        <f>L112</f>
        <v>0.01968624</v>
      </c>
    </row>
    <row r="113" ht="12.75">
      <c r="D113" s="16" t="s">
        <v>835</v>
      </c>
    </row>
    <row r="114" spans="1:48" ht="12.75">
      <c r="A114" s="5" t="s">
        <v>70</v>
      </c>
      <c r="B114" s="5"/>
      <c r="C114" s="5" t="s">
        <v>445</v>
      </c>
      <c r="D114" s="5" t="s">
        <v>837</v>
      </c>
      <c r="E114" s="5" t="s">
        <v>1154</v>
      </c>
      <c r="F114" s="19">
        <v>52.08</v>
      </c>
      <c r="G114" s="19">
        <v>0</v>
      </c>
      <c r="H114" s="19">
        <f>F114*AE114</f>
        <v>0</v>
      </c>
      <c r="I114" s="19">
        <f>J114-H114</f>
        <v>0</v>
      </c>
      <c r="J114" s="19">
        <f>F114*G114</f>
        <v>0</v>
      </c>
      <c r="K114" s="19">
        <v>0.00015</v>
      </c>
      <c r="L114" s="19">
        <f>F114*K114</f>
        <v>0.007811999999999999</v>
      </c>
      <c r="M114" s="33" t="s">
        <v>1177</v>
      </c>
      <c r="P114" s="37">
        <f>IF(AG114="5",J114,0)</f>
        <v>0</v>
      </c>
      <c r="R114" s="37">
        <f>IF(AG114="1",H114,0)</f>
        <v>0</v>
      </c>
      <c r="S114" s="37">
        <f>IF(AG114="1",I114,0)</f>
        <v>0</v>
      </c>
      <c r="T114" s="37">
        <f>IF(AG114="7",H114,0)</f>
        <v>0</v>
      </c>
      <c r="U114" s="37">
        <f>IF(AG114="7",I114,0)</f>
        <v>0</v>
      </c>
      <c r="V114" s="37">
        <f>IF(AG114="2",H114,0)</f>
        <v>0</v>
      </c>
      <c r="W114" s="37">
        <f>IF(AG114="2",I114,0)</f>
        <v>0</v>
      </c>
      <c r="X114" s="37">
        <f>IF(AG114="0",J114,0)</f>
        <v>0</v>
      </c>
      <c r="Y114" s="28"/>
      <c r="Z114" s="19">
        <f>IF(AD114=0,J114,0)</f>
        <v>0</v>
      </c>
      <c r="AA114" s="19">
        <f>IF(AD114=15,J114,0)</f>
        <v>0</v>
      </c>
      <c r="AB114" s="19">
        <f>IF(AD114=21,J114,0)</f>
        <v>0</v>
      </c>
      <c r="AD114" s="37">
        <v>21</v>
      </c>
      <c r="AE114" s="37">
        <f>G114*0.625740121926389</f>
        <v>0</v>
      </c>
      <c r="AF114" s="37">
        <f>G114*(1-0.625740121926389)</f>
        <v>0</v>
      </c>
      <c r="AG114" s="33" t="s">
        <v>13</v>
      </c>
      <c r="AM114" s="37">
        <f>F114*AE114</f>
        <v>0</v>
      </c>
      <c r="AN114" s="37">
        <f>F114*AF114</f>
        <v>0</v>
      </c>
      <c r="AO114" s="38" t="s">
        <v>1206</v>
      </c>
      <c r="AP114" s="38" t="s">
        <v>1228</v>
      </c>
      <c r="AQ114" s="28" t="s">
        <v>1234</v>
      </c>
      <c r="AS114" s="37">
        <f>AM114+AN114</f>
        <v>0</v>
      </c>
      <c r="AT114" s="37">
        <f>G114/(100-AU114)*100</f>
        <v>0</v>
      </c>
      <c r="AU114" s="37">
        <v>0</v>
      </c>
      <c r="AV114" s="37">
        <f>L114</f>
        <v>0.007811999999999999</v>
      </c>
    </row>
    <row r="115" spans="1:48" ht="12.75">
      <c r="A115" s="5" t="s">
        <v>71</v>
      </c>
      <c r="B115" s="5"/>
      <c r="C115" s="5" t="s">
        <v>446</v>
      </c>
      <c r="D115" s="5" t="s">
        <v>838</v>
      </c>
      <c r="E115" s="5" t="s">
        <v>1152</v>
      </c>
      <c r="F115" s="19">
        <v>0.4953</v>
      </c>
      <c r="G115" s="19">
        <v>0</v>
      </c>
      <c r="H115" s="19">
        <f>F115*AE115</f>
        <v>0</v>
      </c>
      <c r="I115" s="19">
        <f>J115-H115</f>
        <v>0</v>
      </c>
      <c r="J115" s="19">
        <f>F115*G115</f>
        <v>0</v>
      </c>
      <c r="K115" s="19">
        <v>0</v>
      </c>
      <c r="L115" s="19">
        <f>F115*K115</f>
        <v>0</v>
      </c>
      <c r="M115" s="33" t="s">
        <v>1177</v>
      </c>
      <c r="P115" s="37">
        <f>IF(AG115="5",J115,0)</f>
        <v>0</v>
      </c>
      <c r="R115" s="37">
        <f>IF(AG115="1",H115,0)</f>
        <v>0</v>
      </c>
      <c r="S115" s="37">
        <f>IF(AG115="1",I115,0)</f>
        <v>0</v>
      </c>
      <c r="T115" s="37">
        <f>IF(AG115="7",H115,0)</f>
        <v>0</v>
      </c>
      <c r="U115" s="37">
        <f>IF(AG115="7",I115,0)</f>
        <v>0</v>
      </c>
      <c r="V115" s="37">
        <f>IF(AG115="2",H115,0)</f>
        <v>0</v>
      </c>
      <c r="W115" s="37">
        <f>IF(AG115="2",I115,0)</f>
        <v>0</v>
      </c>
      <c r="X115" s="37">
        <f>IF(AG115="0",J115,0)</f>
        <v>0</v>
      </c>
      <c r="Y115" s="28"/>
      <c r="Z115" s="19">
        <f>IF(AD115=0,J115,0)</f>
        <v>0</v>
      </c>
      <c r="AA115" s="19">
        <f>IF(AD115=15,J115,0)</f>
        <v>0</v>
      </c>
      <c r="AB115" s="19">
        <f>IF(AD115=21,J115,0)</f>
        <v>0</v>
      </c>
      <c r="AD115" s="37">
        <v>21</v>
      </c>
      <c r="AE115" s="37">
        <f>G115*0</f>
        <v>0</v>
      </c>
      <c r="AF115" s="37">
        <f>G115*(1-0)</f>
        <v>0</v>
      </c>
      <c r="AG115" s="33" t="s">
        <v>11</v>
      </c>
      <c r="AM115" s="37">
        <f>F115*AE115</f>
        <v>0</v>
      </c>
      <c r="AN115" s="37">
        <f>F115*AF115</f>
        <v>0</v>
      </c>
      <c r="AO115" s="38" t="s">
        <v>1206</v>
      </c>
      <c r="AP115" s="38" t="s">
        <v>1228</v>
      </c>
      <c r="AQ115" s="28" t="s">
        <v>1234</v>
      </c>
      <c r="AS115" s="37">
        <f>AM115+AN115</f>
        <v>0</v>
      </c>
      <c r="AT115" s="37">
        <f>G115/(100-AU115)*100</f>
        <v>0</v>
      </c>
      <c r="AU115" s="37">
        <v>0</v>
      </c>
      <c r="AV115" s="37">
        <f>L115</f>
        <v>0</v>
      </c>
    </row>
    <row r="116" spans="1:37" ht="12.75">
      <c r="A116" s="6"/>
      <c r="B116" s="14"/>
      <c r="C116" s="14" t="s">
        <v>447</v>
      </c>
      <c r="D116" s="14" t="s">
        <v>839</v>
      </c>
      <c r="E116" s="6" t="s">
        <v>6</v>
      </c>
      <c r="F116" s="6" t="s">
        <v>6</v>
      </c>
      <c r="G116" s="6" t="s">
        <v>6</v>
      </c>
      <c r="H116" s="40">
        <f>SUM(H117:H123)</f>
        <v>0</v>
      </c>
      <c r="I116" s="40">
        <f>SUM(I117:I123)</f>
        <v>0</v>
      </c>
      <c r="J116" s="40">
        <f>H116+I116</f>
        <v>0</v>
      </c>
      <c r="K116" s="28"/>
      <c r="L116" s="40">
        <f>SUM(L117:L123)</f>
        <v>0.38930015399999995</v>
      </c>
      <c r="M116" s="28"/>
      <c r="Y116" s="28"/>
      <c r="AI116" s="40">
        <f>SUM(Z117:Z123)</f>
        <v>0</v>
      </c>
      <c r="AJ116" s="40">
        <f>SUM(AA117:AA123)</f>
        <v>0</v>
      </c>
      <c r="AK116" s="40">
        <f>SUM(AB117:AB123)</f>
        <v>0</v>
      </c>
    </row>
    <row r="117" spans="1:48" ht="12.75">
      <c r="A117" s="5" t="s">
        <v>72</v>
      </c>
      <c r="B117" s="5"/>
      <c r="C117" s="5" t="s">
        <v>448</v>
      </c>
      <c r="D117" s="5" t="s">
        <v>840</v>
      </c>
      <c r="E117" s="5" t="s">
        <v>1151</v>
      </c>
      <c r="F117" s="19">
        <v>129.5508</v>
      </c>
      <c r="G117" s="19">
        <v>0</v>
      </c>
      <c r="H117" s="19">
        <f>F117*AE117</f>
        <v>0</v>
      </c>
      <c r="I117" s="19">
        <f>J117-H117</f>
        <v>0</v>
      </c>
      <c r="J117" s="19">
        <f>F117*G117</f>
        <v>0</v>
      </c>
      <c r="K117" s="19">
        <v>0</v>
      </c>
      <c r="L117" s="19">
        <f>F117*K117</f>
        <v>0</v>
      </c>
      <c r="M117" s="33" t="s">
        <v>1177</v>
      </c>
      <c r="P117" s="37">
        <f>IF(AG117="5",J117,0)</f>
        <v>0</v>
      </c>
      <c r="R117" s="37">
        <f>IF(AG117="1",H117,0)</f>
        <v>0</v>
      </c>
      <c r="S117" s="37">
        <f>IF(AG117="1",I117,0)</f>
        <v>0</v>
      </c>
      <c r="T117" s="37">
        <f>IF(AG117="7",H117,0)</f>
        <v>0</v>
      </c>
      <c r="U117" s="37">
        <f>IF(AG117="7",I117,0)</f>
        <v>0</v>
      </c>
      <c r="V117" s="37">
        <f>IF(AG117="2",H117,0)</f>
        <v>0</v>
      </c>
      <c r="W117" s="37">
        <f>IF(AG117="2",I117,0)</f>
        <v>0</v>
      </c>
      <c r="X117" s="37">
        <f>IF(AG117="0",J117,0)</f>
        <v>0</v>
      </c>
      <c r="Y117" s="28"/>
      <c r="Z117" s="19">
        <f>IF(AD117=0,J117,0)</f>
        <v>0</v>
      </c>
      <c r="AA117" s="19">
        <f>IF(AD117=15,J117,0)</f>
        <v>0</v>
      </c>
      <c r="AB117" s="19">
        <f>IF(AD117=21,J117,0)</f>
        <v>0</v>
      </c>
      <c r="AD117" s="37">
        <v>21</v>
      </c>
      <c r="AE117" s="37">
        <f>G117*0</f>
        <v>0</v>
      </c>
      <c r="AF117" s="37">
        <f>G117*(1-0)</f>
        <v>0</v>
      </c>
      <c r="AG117" s="33" t="s">
        <v>13</v>
      </c>
      <c r="AM117" s="37">
        <f>F117*AE117</f>
        <v>0</v>
      </c>
      <c r="AN117" s="37">
        <f>F117*AF117</f>
        <v>0</v>
      </c>
      <c r="AO117" s="38" t="s">
        <v>1207</v>
      </c>
      <c r="AP117" s="38" t="s">
        <v>1228</v>
      </c>
      <c r="AQ117" s="28" t="s">
        <v>1234</v>
      </c>
      <c r="AS117" s="37">
        <f>AM117+AN117</f>
        <v>0</v>
      </c>
      <c r="AT117" s="37">
        <f>G117/(100-AU117)*100</f>
        <v>0</v>
      </c>
      <c r="AU117" s="37">
        <v>0</v>
      </c>
      <c r="AV117" s="37">
        <f>L117</f>
        <v>0</v>
      </c>
    </row>
    <row r="118" ht="12.75">
      <c r="D118" s="16" t="s">
        <v>841</v>
      </c>
    </row>
    <row r="119" spans="1:48" ht="12.75">
      <c r="A119" s="7" t="s">
        <v>73</v>
      </c>
      <c r="B119" s="7"/>
      <c r="C119" s="7" t="s">
        <v>449</v>
      </c>
      <c r="D119" s="7" t="s">
        <v>842</v>
      </c>
      <c r="E119" s="7" t="s">
        <v>1151</v>
      </c>
      <c r="F119" s="20">
        <v>155.46096</v>
      </c>
      <c r="G119" s="20">
        <v>0</v>
      </c>
      <c r="H119" s="20">
        <f>F119*AE119</f>
        <v>0</v>
      </c>
      <c r="I119" s="20">
        <f>J119-H119</f>
        <v>0</v>
      </c>
      <c r="J119" s="20">
        <f>F119*G119</f>
        <v>0</v>
      </c>
      <c r="K119" s="20">
        <v>0.0003</v>
      </c>
      <c r="L119" s="20">
        <f>F119*K119</f>
        <v>0.04663828799999999</v>
      </c>
      <c r="M119" s="34" t="s">
        <v>1177</v>
      </c>
      <c r="P119" s="37">
        <f>IF(AG119="5",J119,0)</f>
        <v>0</v>
      </c>
      <c r="R119" s="37">
        <f>IF(AG119="1",H119,0)</f>
        <v>0</v>
      </c>
      <c r="S119" s="37">
        <f>IF(AG119="1",I119,0)</f>
        <v>0</v>
      </c>
      <c r="T119" s="37">
        <f>IF(AG119="7",H119,0)</f>
        <v>0</v>
      </c>
      <c r="U119" s="37">
        <f>IF(AG119="7",I119,0)</f>
        <v>0</v>
      </c>
      <c r="V119" s="37">
        <f>IF(AG119="2",H119,0)</f>
        <v>0</v>
      </c>
      <c r="W119" s="37">
        <f>IF(AG119="2",I119,0)</f>
        <v>0</v>
      </c>
      <c r="X119" s="37">
        <f>IF(AG119="0",J119,0)</f>
        <v>0</v>
      </c>
      <c r="Y119" s="28"/>
      <c r="Z119" s="20">
        <f>IF(AD119=0,J119,0)</f>
        <v>0</v>
      </c>
      <c r="AA119" s="20">
        <f>IF(AD119=15,J119,0)</f>
        <v>0</v>
      </c>
      <c r="AB119" s="20">
        <f>IF(AD119=21,J119,0)</f>
        <v>0</v>
      </c>
      <c r="AD119" s="37">
        <v>21</v>
      </c>
      <c r="AE119" s="37">
        <f>G119*1</f>
        <v>0</v>
      </c>
      <c r="AF119" s="37">
        <f>G119*(1-1)</f>
        <v>0</v>
      </c>
      <c r="AG119" s="34" t="s">
        <v>13</v>
      </c>
      <c r="AM119" s="37">
        <f>F119*AE119</f>
        <v>0</v>
      </c>
      <c r="AN119" s="37">
        <f>F119*AF119</f>
        <v>0</v>
      </c>
      <c r="AO119" s="38" t="s">
        <v>1207</v>
      </c>
      <c r="AP119" s="38" t="s">
        <v>1228</v>
      </c>
      <c r="AQ119" s="28" t="s">
        <v>1234</v>
      </c>
      <c r="AS119" s="37">
        <f>AM119+AN119</f>
        <v>0</v>
      </c>
      <c r="AT119" s="37">
        <f>G119/(100-AU119)*100</f>
        <v>0</v>
      </c>
      <c r="AU119" s="37">
        <v>0</v>
      </c>
      <c r="AV119" s="37">
        <f>L119</f>
        <v>0.04663828799999999</v>
      </c>
    </row>
    <row r="120" spans="1:48" ht="12.75">
      <c r="A120" s="5" t="s">
        <v>74</v>
      </c>
      <c r="B120" s="5"/>
      <c r="C120" s="5" t="s">
        <v>450</v>
      </c>
      <c r="D120" s="5" t="s">
        <v>843</v>
      </c>
      <c r="E120" s="5" t="s">
        <v>1151</v>
      </c>
      <c r="F120" s="19">
        <v>129.5508</v>
      </c>
      <c r="G120" s="19">
        <v>0</v>
      </c>
      <c r="H120" s="19">
        <f>F120*AE120</f>
        <v>0</v>
      </c>
      <c r="I120" s="19">
        <f>J120-H120</f>
        <v>0</v>
      </c>
      <c r="J120" s="19">
        <f>F120*G120</f>
        <v>0</v>
      </c>
      <c r="K120" s="19">
        <v>0</v>
      </c>
      <c r="L120" s="19">
        <f>F120*K120</f>
        <v>0</v>
      </c>
      <c r="M120" s="33" t="s">
        <v>1177</v>
      </c>
      <c r="P120" s="37">
        <f>IF(AG120="5",J120,0)</f>
        <v>0</v>
      </c>
      <c r="R120" s="37">
        <f>IF(AG120="1",H120,0)</f>
        <v>0</v>
      </c>
      <c r="S120" s="37">
        <f>IF(AG120="1",I120,0)</f>
        <v>0</v>
      </c>
      <c r="T120" s="37">
        <f>IF(AG120="7",H120,0)</f>
        <v>0</v>
      </c>
      <c r="U120" s="37">
        <f>IF(AG120="7",I120,0)</f>
        <v>0</v>
      </c>
      <c r="V120" s="37">
        <f>IF(AG120="2",H120,0)</f>
        <v>0</v>
      </c>
      <c r="W120" s="37">
        <f>IF(AG120="2",I120,0)</f>
        <v>0</v>
      </c>
      <c r="X120" s="37">
        <f>IF(AG120="0",J120,0)</f>
        <v>0</v>
      </c>
      <c r="Y120" s="28"/>
      <c r="Z120" s="19">
        <f>IF(AD120=0,J120,0)</f>
        <v>0</v>
      </c>
      <c r="AA120" s="19">
        <f>IF(AD120=15,J120,0)</f>
        <v>0</v>
      </c>
      <c r="AB120" s="19">
        <f>IF(AD120=21,J120,0)</f>
        <v>0</v>
      </c>
      <c r="AD120" s="37">
        <v>21</v>
      </c>
      <c r="AE120" s="37">
        <f>G120*0</f>
        <v>0</v>
      </c>
      <c r="AF120" s="37">
        <f>G120*(1-0)</f>
        <v>0</v>
      </c>
      <c r="AG120" s="33" t="s">
        <v>13</v>
      </c>
      <c r="AM120" s="37">
        <f>F120*AE120</f>
        <v>0</v>
      </c>
      <c r="AN120" s="37">
        <f>F120*AF120</f>
        <v>0</v>
      </c>
      <c r="AO120" s="38" t="s">
        <v>1207</v>
      </c>
      <c r="AP120" s="38" t="s">
        <v>1228</v>
      </c>
      <c r="AQ120" s="28" t="s">
        <v>1234</v>
      </c>
      <c r="AS120" s="37">
        <f>AM120+AN120</f>
        <v>0</v>
      </c>
      <c r="AT120" s="37">
        <f>G120/(100-AU120)*100</f>
        <v>0</v>
      </c>
      <c r="AU120" s="37">
        <v>0</v>
      </c>
      <c r="AV120" s="37">
        <f>L120</f>
        <v>0</v>
      </c>
    </row>
    <row r="121" ht="12.75">
      <c r="D121" s="16" t="s">
        <v>844</v>
      </c>
    </row>
    <row r="122" spans="1:48" ht="12.75">
      <c r="A122" s="7" t="s">
        <v>75</v>
      </c>
      <c r="B122" s="7"/>
      <c r="C122" s="7" t="s">
        <v>451</v>
      </c>
      <c r="D122" s="7" t="s">
        <v>845</v>
      </c>
      <c r="E122" s="7" t="s">
        <v>1151</v>
      </c>
      <c r="F122" s="20">
        <v>148.98342</v>
      </c>
      <c r="G122" s="20">
        <v>0</v>
      </c>
      <c r="H122" s="20">
        <f>F122*AE122</f>
        <v>0</v>
      </c>
      <c r="I122" s="20">
        <f>J122-H122</f>
        <v>0</v>
      </c>
      <c r="J122" s="20">
        <f>F122*G122</f>
        <v>0</v>
      </c>
      <c r="K122" s="20">
        <v>0.0023</v>
      </c>
      <c r="L122" s="20">
        <f>F122*K122</f>
        <v>0.342661866</v>
      </c>
      <c r="M122" s="34" t="s">
        <v>1177</v>
      </c>
      <c r="P122" s="37">
        <f>IF(AG122="5",J122,0)</f>
        <v>0</v>
      </c>
      <c r="R122" s="37">
        <f>IF(AG122="1",H122,0)</f>
        <v>0</v>
      </c>
      <c r="S122" s="37">
        <f>IF(AG122="1",I122,0)</f>
        <v>0</v>
      </c>
      <c r="T122" s="37">
        <f>IF(AG122="7",H122,0)</f>
        <v>0</v>
      </c>
      <c r="U122" s="37">
        <f>IF(AG122="7",I122,0)</f>
        <v>0</v>
      </c>
      <c r="V122" s="37">
        <f>IF(AG122="2",H122,0)</f>
        <v>0</v>
      </c>
      <c r="W122" s="37">
        <f>IF(AG122="2",I122,0)</f>
        <v>0</v>
      </c>
      <c r="X122" s="37">
        <f>IF(AG122="0",J122,0)</f>
        <v>0</v>
      </c>
      <c r="Y122" s="28"/>
      <c r="Z122" s="20">
        <f>IF(AD122=0,J122,0)</f>
        <v>0</v>
      </c>
      <c r="AA122" s="20">
        <f>IF(AD122=15,J122,0)</f>
        <v>0</v>
      </c>
      <c r="AB122" s="20">
        <f>IF(AD122=21,J122,0)</f>
        <v>0</v>
      </c>
      <c r="AD122" s="37">
        <v>21</v>
      </c>
      <c r="AE122" s="37">
        <f>G122*1</f>
        <v>0</v>
      </c>
      <c r="AF122" s="37">
        <f>G122*(1-1)</f>
        <v>0</v>
      </c>
      <c r="AG122" s="34" t="s">
        <v>13</v>
      </c>
      <c r="AM122" s="37">
        <f>F122*AE122</f>
        <v>0</v>
      </c>
      <c r="AN122" s="37">
        <f>F122*AF122</f>
        <v>0</v>
      </c>
      <c r="AO122" s="38" t="s">
        <v>1207</v>
      </c>
      <c r="AP122" s="38" t="s">
        <v>1228</v>
      </c>
      <c r="AQ122" s="28" t="s">
        <v>1234</v>
      </c>
      <c r="AS122" s="37">
        <f>AM122+AN122</f>
        <v>0</v>
      </c>
      <c r="AT122" s="37">
        <f>G122/(100-AU122)*100</f>
        <v>0</v>
      </c>
      <c r="AU122" s="37">
        <v>0</v>
      </c>
      <c r="AV122" s="37">
        <f>L122</f>
        <v>0.342661866</v>
      </c>
    </row>
    <row r="123" spans="1:48" ht="12.75">
      <c r="A123" s="5" t="s">
        <v>76</v>
      </c>
      <c r="B123" s="5"/>
      <c r="C123" s="5" t="s">
        <v>452</v>
      </c>
      <c r="D123" s="5" t="s">
        <v>846</v>
      </c>
      <c r="E123" s="5" t="s">
        <v>1152</v>
      </c>
      <c r="F123" s="19">
        <v>0.3893</v>
      </c>
      <c r="G123" s="19">
        <v>0</v>
      </c>
      <c r="H123" s="19">
        <f>F123*AE123</f>
        <v>0</v>
      </c>
      <c r="I123" s="19">
        <f>J123-H123</f>
        <v>0</v>
      </c>
      <c r="J123" s="19">
        <f>F123*G123</f>
        <v>0</v>
      </c>
      <c r="K123" s="19">
        <v>0</v>
      </c>
      <c r="L123" s="19">
        <f>F123*K123</f>
        <v>0</v>
      </c>
      <c r="M123" s="33" t="s">
        <v>1177</v>
      </c>
      <c r="P123" s="37">
        <f>IF(AG123="5",J123,0)</f>
        <v>0</v>
      </c>
      <c r="R123" s="37">
        <f>IF(AG123="1",H123,0)</f>
        <v>0</v>
      </c>
      <c r="S123" s="37">
        <f>IF(AG123="1",I123,0)</f>
        <v>0</v>
      </c>
      <c r="T123" s="37">
        <f>IF(AG123="7",H123,0)</f>
        <v>0</v>
      </c>
      <c r="U123" s="37">
        <f>IF(AG123="7",I123,0)</f>
        <v>0</v>
      </c>
      <c r="V123" s="37">
        <f>IF(AG123="2",H123,0)</f>
        <v>0</v>
      </c>
      <c r="W123" s="37">
        <f>IF(AG123="2",I123,0)</f>
        <v>0</v>
      </c>
      <c r="X123" s="37">
        <f>IF(AG123="0",J123,0)</f>
        <v>0</v>
      </c>
      <c r="Y123" s="28"/>
      <c r="Z123" s="19">
        <f>IF(AD123=0,J123,0)</f>
        <v>0</v>
      </c>
      <c r="AA123" s="19">
        <f>IF(AD123=15,J123,0)</f>
        <v>0</v>
      </c>
      <c r="AB123" s="19">
        <f>IF(AD123=21,J123,0)</f>
        <v>0</v>
      </c>
      <c r="AD123" s="37">
        <v>21</v>
      </c>
      <c r="AE123" s="37">
        <f>G123*0</f>
        <v>0</v>
      </c>
      <c r="AF123" s="37">
        <f>G123*(1-0)</f>
        <v>0</v>
      </c>
      <c r="AG123" s="33" t="s">
        <v>11</v>
      </c>
      <c r="AM123" s="37">
        <f>F123*AE123</f>
        <v>0</v>
      </c>
      <c r="AN123" s="37">
        <f>F123*AF123</f>
        <v>0</v>
      </c>
      <c r="AO123" s="38" t="s">
        <v>1207</v>
      </c>
      <c r="AP123" s="38" t="s">
        <v>1228</v>
      </c>
      <c r="AQ123" s="28" t="s">
        <v>1234</v>
      </c>
      <c r="AS123" s="37">
        <f>AM123+AN123</f>
        <v>0</v>
      </c>
      <c r="AT123" s="37">
        <f>G123/(100-AU123)*100</f>
        <v>0</v>
      </c>
      <c r="AU123" s="37">
        <v>0</v>
      </c>
      <c r="AV123" s="37">
        <f>L123</f>
        <v>0</v>
      </c>
    </row>
    <row r="124" spans="1:37" ht="12.75">
      <c r="A124" s="6"/>
      <c r="B124" s="14"/>
      <c r="C124" s="14" t="s">
        <v>453</v>
      </c>
      <c r="D124" s="14" t="s">
        <v>847</v>
      </c>
      <c r="E124" s="6" t="s">
        <v>6</v>
      </c>
      <c r="F124" s="6" t="s">
        <v>6</v>
      </c>
      <c r="G124" s="6" t="s">
        <v>6</v>
      </c>
      <c r="H124" s="40">
        <f>SUM(H125:H137)</f>
        <v>0</v>
      </c>
      <c r="I124" s="40">
        <f>SUM(I125:I137)</f>
        <v>0</v>
      </c>
      <c r="J124" s="40">
        <f>H124+I124</f>
        <v>0</v>
      </c>
      <c r="K124" s="28"/>
      <c r="L124" s="40">
        <f>SUM(L125:L137)</f>
        <v>0.284590743</v>
      </c>
      <c r="M124" s="28"/>
      <c r="Y124" s="28"/>
      <c r="AI124" s="40">
        <f>SUM(Z125:Z137)</f>
        <v>0</v>
      </c>
      <c r="AJ124" s="40">
        <f>SUM(AA125:AA137)</f>
        <v>0</v>
      </c>
      <c r="AK124" s="40">
        <f>SUM(AB125:AB137)</f>
        <v>0</v>
      </c>
    </row>
    <row r="125" spans="1:48" ht="12.75">
      <c r="A125" s="5" t="s">
        <v>77</v>
      </c>
      <c r="B125" s="5"/>
      <c r="C125" s="5" t="s">
        <v>454</v>
      </c>
      <c r="D125" s="5" t="s">
        <v>848</v>
      </c>
      <c r="E125" s="5" t="s">
        <v>1151</v>
      </c>
      <c r="F125" s="19">
        <v>42.834</v>
      </c>
      <c r="G125" s="19">
        <v>0</v>
      </c>
      <c r="H125" s="19">
        <f>F125*AE125</f>
        <v>0</v>
      </c>
      <c r="I125" s="19">
        <f>J125-H125</f>
        <v>0</v>
      </c>
      <c r="J125" s="19">
        <f>F125*G125</f>
        <v>0</v>
      </c>
      <c r="K125" s="19">
        <v>2E-05</v>
      </c>
      <c r="L125" s="19">
        <f>F125*K125</f>
        <v>0.0008566800000000002</v>
      </c>
      <c r="M125" s="33" t="s">
        <v>1177</v>
      </c>
      <c r="P125" s="37">
        <f>IF(AG125="5",J125,0)</f>
        <v>0</v>
      </c>
      <c r="R125" s="37">
        <f>IF(AG125="1",H125,0)</f>
        <v>0</v>
      </c>
      <c r="S125" s="37">
        <f>IF(AG125="1",I125,0)</f>
        <v>0</v>
      </c>
      <c r="T125" s="37">
        <f>IF(AG125="7",H125,0)</f>
        <v>0</v>
      </c>
      <c r="U125" s="37">
        <f>IF(AG125="7",I125,0)</f>
        <v>0</v>
      </c>
      <c r="V125" s="37">
        <f>IF(AG125="2",H125,0)</f>
        <v>0</v>
      </c>
      <c r="W125" s="37">
        <f>IF(AG125="2",I125,0)</f>
        <v>0</v>
      </c>
      <c r="X125" s="37">
        <f>IF(AG125="0",J125,0)</f>
        <v>0</v>
      </c>
      <c r="Y125" s="28"/>
      <c r="Z125" s="19">
        <f>IF(AD125=0,J125,0)</f>
        <v>0</v>
      </c>
      <c r="AA125" s="19">
        <f>IF(AD125=15,J125,0)</f>
        <v>0</v>
      </c>
      <c r="AB125" s="19">
        <f>IF(AD125=21,J125,0)</f>
        <v>0</v>
      </c>
      <c r="AD125" s="37">
        <v>21</v>
      </c>
      <c r="AE125" s="37">
        <f>G125*0.0893691731098389</f>
        <v>0</v>
      </c>
      <c r="AF125" s="37">
        <f>G125*(1-0.0893691731098389)</f>
        <v>0</v>
      </c>
      <c r="AG125" s="33" t="s">
        <v>13</v>
      </c>
      <c r="AM125" s="37">
        <f>F125*AE125</f>
        <v>0</v>
      </c>
      <c r="AN125" s="37">
        <f>F125*AF125</f>
        <v>0</v>
      </c>
      <c r="AO125" s="38" t="s">
        <v>1208</v>
      </c>
      <c r="AP125" s="38" t="s">
        <v>1228</v>
      </c>
      <c r="AQ125" s="28" t="s">
        <v>1234</v>
      </c>
      <c r="AS125" s="37">
        <f>AM125+AN125</f>
        <v>0</v>
      </c>
      <c r="AT125" s="37">
        <f>G125/(100-AU125)*100</f>
        <v>0</v>
      </c>
      <c r="AU125" s="37">
        <v>0</v>
      </c>
      <c r="AV125" s="37">
        <f>L125</f>
        <v>0.0008566800000000002</v>
      </c>
    </row>
    <row r="126" ht="12.75">
      <c r="D126" s="16" t="s">
        <v>849</v>
      </c>
    </row>
    <row r="127" spans="1:48" ht="12.75">
      <c r="A127" s="7" t="s">
        <v>78</v>
      </c>
      <c r="B127" s="7"/>
      <c r="C127" s="7" t="s">
        <v>455</v>
      </c>
      <c r="D127" s="7" t="s">
        <v>850</v>
      </c>
      <c r="E127" s="7" t="s">
        <v>1151</v>
      </c>
      <c r="F127" s="20">
        <v>49.2591</v>
      </c>
      <c r="G127" s="20">
        <v>0</v>
      </c>
      <c r="H127" s="20">
        <f>F127*AE127</f>
        <v>0</v>
      </c>
      <c r="I127" s="20">
        <f>J127-H127</f>
        <v>0</v>
      </c>
      <c r="J127" s="20">
        <f>F127*G127</f>
        <v>0</v>
      </c>
      <c r="K127" s="20">
        <v>0.00018</v>
      </c>
      <c r="L127" s="20">
        <f>F127*K127</f>
        <v>0.008866638</v>
      </c>
      <c r="M127" s="34" t="s">
        <v>1177</v>
      </c>
      <c r="P127" s="37">
        <f>IF(AG127="5",J127,0)</f>
        <v>0</v>
      </c>
      <c r="R127" s="37">
        <f>IF(AG127="1",H127,0)</f>
        <v>0</v>
      </c>
      <c r="S127" s="37">
        <f>IF(AG127="1",I127,0)</f>
        <v>0</v>
      </c>
      <c r="T127" s="37">
        <f>IF(AG127="7",H127,0)</f>
        <v>0</v>
      </c>
      <c r="U127" s="37">
        <f>IF(AG127="7",I127,0)</f>
        <v>0</v>
      </c>
      <c r="V127" s="37">
        <f>IF(AG127="2",H127,0)</f>
        <v>0</v>
      </c>
      <c r="W127" s="37">
        <f>IF(AG127="2",I127,0)</f>
        <v>0</v>
      </c>
      <c r="X127" s="37">
        <f>IF(AG127="0",J127,0)</f>
        <v>0</v>
      </c>
      <c r="Y127" s="28"/>
      <c r="Z127" s="20">
        <f>IF(AD127=0,J127,0)</f>
        <v>0</v>
      </c>
      <c r="AA127" s="20">
        <f>IF(AD127=15,J127,0)</f>
        <v>0</v>
      </c>
      <c r="AB127" s="20">
        <f>IF(AD127=21,J127,0)</f>
        <v>0</v>
      </c>
      <c r="AD127" s="37">
        <v>21</v>
      </c>
      <c r="AE127" s="37">
        <f>G127*1</f>
        <v>0</v>
      </c>
      <c r="AF127" s="37">
        <f>G127*(1-1)</f>
        <v>0</v>
      </c>
      <c r="AG127" s="34" t="s">
        <v>13</v>
      </c>
      <c r="AM127" s="37">
        <f>F127*AE127</f>
        <v>0</v>
      </c>
      <c r="AN127" s="37">
        <f>F127*AF127</f>
        <v>0</v>
      </c>
      <c r="AO127" s="38" t="s">
        <v>1208</v>
      </c>
      <c r="AP127" s="38" t="s">
        <v>1228</v>
      </c>
      <c r="AQ127" s="28" t="s">
        <v>1234</v>
      </c>
      <c r="AS127" s="37">
        <f>AM127+AN127</f>
        <v>0</v>
      </c>
      <c r="AT127" s="37">
        <f>G127/(100-AU127)*100</f>
        <v>0</v>
      </c>
      <c r="AU127" s="37">
        <v>0</v>
      </c>
      <c r="AV127" s="37">
        <f>L127</f>
        <v>0.008866638</v>
      </c>
    </row>
    <row r="128" spans="1:48" ht="12.75">
      <c r="A128" s="5" t="s">
        <v>79</v>
      </c>
      <c r="B128" s="5"/>
      <c r="C128" s="5" t="s">
        <v>456</v>
      </c>
      <c r="D128" s="5" t="s">
        <v>851</v>
      </c>
      <c r="E128" s="5" t="s">
        <v>1151</v>
      </c>
      <c r="F128" s="19">
        <v>40.91</v>
      </c>
      <c r="G128" s="19">
        <v>0</v>
      </c>
      <c r="H128" s="19">
        <f>F128*AE128</f>
        <v>0</v>
      </c>
      <c r="I128" s="19">
        <f>J128-H128</f>
        <v>0</v>
      </c>
      <c r="J128" s="19">
        <f>F128*G128</f>
        <v>0</v>
      </c>
      <c r="K128" s="19">
        <v>0</v>
      </c>
      <c r="L128" s="19">
        <f>F128*K128</f>
        <v>0</v>
      </c>
      <c r="M128" s="33" t="s">
        <v>1177</v>
      </c>
      <c r="P128" s="37">
        <f>IF(AG128="5",J128,0)</f>
        <v>0</v>
      </c>
      <c r="R128" s="37">
        <f>IF(AG128="1",H128,0)</f>
        <v>0</v>
      </c>
      <c r="S128" s="37">
        <f>IF(AG128="1",I128,0)</f>
        <v>0</v>
      </c>
      <c r="T128" s="37">
        <f>IF(AG128="7",H128,0)</f>
        <v>0</v>
      </c>
      <c r="U128" s="37">
        <f>IF(AG128="7",I128,0)</f>
        <v>0</v>
      </c>
      <c r="V128" s="37">
        <f>IF(AG128="2",H128,0)</f>
        <v>0</v>
      </c>
      <c r="W128" s="37">
        <f>IF(AG128="2",I128,0)</f>
        <v>0</v>
      </c>
      <c r="X128" s="37">
        <f>IF(AG128="0",J128,0)</f>
        <v>0</v>
      </c>
      <c r="Y128" s="28"/>
      <c r="Z128" s="19">
        <f>IF(AD128=0,J128,0)</f>
        <v>0</v>
      </c>
      <c r="AA128" s="19">
        <f>IF(AD128=15,J128,0)</f>
        <v>0</v>
      </c>
      <c r="AB128" s="19">
        <f>IF(AD128=21,J128,0)</f>
        <v>0</v>
      </c>
      <c r="AD128" s="37">
        <v>21</v>
      </c>
      <c r="AE128" s="37">
        <f>G128*0</f>
        <v>0</v>
      </c>
      <c r="AF128" s="37">
        <f>G128*(1-0)</f>
        <v>0</v>
      </c>
      <c r="AG128" s="33" t="s">
        <v>13</v>
      </c>
      <c r="AM128" s="37">
        <f>F128*AE128</f>
        <v>0</v>
      </c>
      <c r="AN128" s="37">
        <f>F128*AF128</f>
        <v>0</v>
      </c>
      <c r="AO128" s="38" t="s">
        <v>1208</v>
      </c>
      <c r="AP128" s="38" t="s">
        <v>1228</v>
      </c>
      <c r="AQ128" s="28" t="s">
        <v>1234</v>
      </c>
      <c r="AS128" s="37">
        <f>AM128+AN128</f>
        <v>0</v>
      </c>
      <c r="AT128" s="37">
        <f>G128/(100-AU128)*100</f>
        <v>0</v>
      </c>
      <c r="AU128" s="37">
        <v>0</v>
      </c>
      <c r="AV128" s="37">
        <f>L128</f>
        <v>0</v>
      </c>
    </row>
    <row r="129" ht="12.75">
      <c r="D129" s="16" t="s">
        <v>852</v>
      </c>
    </row>
    <row r="130" spans="1:48" ht="12.75">
      <c r="A130" s="7" t="s">
        <v>80</v>
      </c>
      <c r="B130" s="7"/>
      <c r="C130" s="7" t="s">
        <v>457</v>
      </c>
      <c r="D130" s="7" t="s">
        <v>853</v>
      </c>
      <c r="E130" s="7" t="s">
        <v>1151</v>
      </c>
      <c r="F130" s="20">
        <v>42.9555</v>
      </c>
      <c r="G130" s="20">
        <v>0</v>
      </c>
      <c r="H130" s="20">
        <f>F130*AE130</f>
        <v>0</v>
      </c>
      <c r="I130" s="20">
        <f>J130-H130</f>
        <v>0</v>
      </c>
      <c r="J130" s="20">
        <f>F130*G130</f>
        <v>0</v>
      </c>
      <c r="K130" s="20">
        <v>0.0016</v>
      </c>
      <c r="L130" s="20">
        <f>F130*K130</f>
        <v>0.0687288</v>
      </c>
      <c r="M130" s="34" t="s">
        <v>1177</v>
      </c>
      <c r="P130" s="37">
        <f>IF(AG130="5",J130,0)</f>
        <v>0</v>
      </c>
      <c r="R130" s="37">
        <f>IF(AG130="1",H130,0)</f>
        <v>0</v>
      </c>
      <c r="S130" s="37">
        <f>IF(AG130="1",I130,0)</f>
        <v>0</v>
      </c>
      <c r="T130" s="37">
        <f>IF(AG130="7",H130,0)</f>
        <v>0</v>
      </c>
      <c r="U130" s="37">
        <f>IF(AG130="7",I130,0)</f>
        <v>0</v>
      </c>
      <c r="V130" s="37">
        <f>IF(AG130="2",H130,0)</f>
        <v>0</v>
      </c>
      <c r="W130" s="37">
        <f>IF(AG130="2",I130,0)</f>
        <v>0</v>
      </c>
      <c r="X130" s="37">
        <f>IF(AG130="0",J130,0)</f>
        <v>0</v>
      </c>
      <c r="Y130" s="28"/>
      <c r="Z130" s="20">
        <f>IF(AD130=0,J130,0)</f>
        <v>0</v>
      </c>
      <c r="AA130" s="20">
        <f>IF(AD130=15,J130,0)</f>
        <v>0</v>
      </c>
      <c r="AB130" s="20">
        <f>IF(AD130=21,J130,0)</f>
        <v>0</v>
      </c>
      <c r="AD130" s="37">
        <v>21</v>
      </c>
      <c r="AE130" s="37">
        <f>G130*1</f>
        <v>0</v>
      </c>
      <c r="AF130" s="37">
        <f>G130*(1-1)</f>
        <v>0</v>
      </c>
      <c r="AG130" s="34" t="s">
        <v>13</v>
      </c>
      <c r="AM130" s="37">
        <f>F130*AE130</f>
        <v>0</v>
      </c>
      <c r="AN130" s="37">
        <f>F130*AF130</f>
        <v>0</v>
      </c>
      <c r="AO130" s="38" t="s">
        <v>1208</v>
      </c>
      <c r="AP130" s="38" t="s">
        <v>1228</v>
      </c>
      <c r="AQ130" s="28" t="s">
        <v>1234</v>
      </c>
      <c r="AS130" s="37">
        <f>AM130+AN130</f>
        <v>0</v>
      </c>
      <c r="AT130" s="37">
        <f>G130/(100-AU130)*100</f>
        <v>0</v>
      </c>
      <c r="AU130" s="37">
        <v>0</v>
      </c>
      <c r="AV130" s="37">
        <f>L130</f>
        <v>0.0687288</v>
      </c>
    </row>
    <row r="131" spans="1:48" ht="12.75">
      <c r="A131" s="5" t="s">
        <v>81</v>
      </c>
      <c r="B131" s="5"/>
      <c r="C131" s="5" t="s">
        <v>458</v>
      </c>
      <c r="D131" s="5" t="s">
        <v>854</v>
      </c>
      <c r="E131" s="5" t="s">
        <v>1151</v>
      </c>
      <c r="F131" s="19">
        <v>42.834</v>
      </c>
      <c r="G131" s="19">
        <v>0</v>
      </c>
      <c r="H131" s="19">
        <f>F131*AE131</f>
        <v>0</v>
      </c>
      <c r="I131" s="19">
        <f>J131-H131</f>
        <v>0</v>
      </c>
      <c r="J131" s="19">
        <f>F131*G131</f>
        <v>0</v>
      </c>
      <c r="K131" s="19">
        <v>0</v>
      </c>
      <c r="L131" s="19">
        <f>F131*K131</f>
        <v>0</v>
      </c>
      <c r="M131" s="33" t="s">
        <v>1177</v>
      </c>
      <c r="P131" s="37">
        <f>IF(AG131="5",J131,0)</f>
        <v>0</v>
      </c>
      <c r="R131" s="37">
        <f>IF(AG131="1",H131,0)</f>
        <v>0</v>
      </c>
      <c r="S131" s="37">
        <f>IF(AG131="1",I131,0)</f>
        <v>0</v>
      </c>
      <c r="T131" s="37">
        <f>IF(AG131="7",H131,0)</f>
        <v>0</v>
      </c>
      <c r="U131" s="37">
        <f>IF(AG131="7",I131,0)</f>
        <v>0</v>
      </c>
      <c r="V131" s="37">
        <f>IF(AG131="2",H131,0)</f>
        <v>0</v>
      </c>
      <c r="W131" s="37">
        <f>IF(AG131="2",I131,0)</f>
        <v>0</v>
      </c>
      <c r="X131" s="37">
        <f>IF(AG131="0",J131,0)</f>
        <v>0</v>
      </c>
      <c r="Y131" s="28"/>
      <c r="Z131" s="19">
        <f>IF(AD131=0,J131,0)</f>
        <v>0</v>
      </c>
      <c r="AA131" s="19">
        <f>IF(AD131=15,J131,0)</f>
        <v>0</v>
      </c>
      <c r="AB131" s="19">
        <f>IF(AD131=21,J131,0)</f>
        <v>0</v>
      </c>
      <c r="AD131" s="37">
        <v>21</v>
      </c>
      <c r="AE131" s="37">
        <f>G131*0</f>
        <v>0</v>
      </c>
      <c r="AF131" s="37">
        <f>G131*(1-0)</f>
        <v>0</v>
      </c>
      <c r="AG131" s="33" t="s">
        <v>13</v>
      </c>
      <c r="AM131" s="37">
        <f>F131*AE131</f>
        <v>0</v>
      </c>
      <c r="AN131" s="37">
        <f>F131*AF131</f>
        <v>0</v>
      </c>
      <c r="AO131" s="38" t="s">
        <v>1208</v>
      </c>
      <c r="AP131" s="38" t="s">
        <v>1228</v>
      </c>
      <c r="AQ131" s="28" t="s">
        <v>1234</v>
      </c>
      <c r="AS131" s="37">
        <f>AM131+AN131</f>
        <v>0</v>
      </c>
      <c r="AT131" s="37">
        <f>G131/(100-AU131)*100</f>
        <v>0</v>
      </c>
      <c r="AU131" s="37">
        <v>0</v>
      </c>
      <c r="AV131" s="37">
        <f>L131</f>
        <v>0</v>
      </c>
    </row>
    <row r="132" ht="12.75">
      <c r="D132" s="16" t="s">
        <v>855</v>
      </c>
    </row>
    <row r="133" spans="1:48" ht="12.75">
      <c r="A133" s="7" t="s">
        <v>82</v>
      </c>
      <c r="B133" s="7"/>
      <c r="C133" s="7" t="s">
        <v>459</v>
      </c>
      <c r="D133" s="7" t="s">
        <v>856</v>
      </c>
      <c r="E133" s="7" t="s">
        <v>1151</v>
      </c>
      <c r="F133" s="20">
        <v>49.2591</v>
      </c>
      <c r="G133" s="20">
        <v>0</v>
      </c>
      <c r="H133" s="20">
        <f>F133*AE133</f>
        <v>0</v>
      </c>
      <c r="I133" s="20">
        <f>J133-H133</f>
        <v>0</v>
      </c>
      <c r="J133" s="20">
        <f>F133*G133</f>
        <v>0</v>
      </c>
      <c r="K133" s="20">
        <v>0.00015</v>
      </c>
      <c r="L133" s="20">
        <f>F133*K133</f>
        <v>0.007388864999999999</v>
      </c>
      <c r="M133" s="34" t="s">
        <v>1177</v>
      </c>
      <c r="P133" s="37">
        <f>IF(AG133="5",J133,0)</f>
        <v>0</v>
      </c>
      <c r="R133" s="37">
        <f>IF(AG133="1",H133,0)</f>
        <v>0</v>
      </c>
      <c r="S133" s="37">
        <f>IF(AG133="1",I133,0)</f>
        <v>0</v>
      </c>
      <c r="T133" s="37">
        <f>IF(AG133="7",H133,0)</f>
        <v>0</v>
      </c>
      <c r="U133" s="37">
        <f>IF(AG133="7",I133,0)</f>
        <v>0</v>
      </c>
      <c r="V133" s="37">
        <f>IF(AG133="2",H133,0)</f>
        <v>0</v>
      </c>
      <c r="W133" s="37">
        <f>IF(AG133="2",I133,0)</f>
        <v>0</v>
      </c>
      <c r="X133" s="37">
        <f>IF(AG133="0",J133,0)</f>
        <v>0</v>
      </c>
      <c r="Y133" s="28"/>
      <c r="Z133" s="20">
        <f>IF(AD133=0,J133,0)</f>
        <v>0</v>
      </c>
      <c r="AA133" s="20">
        <f>IF(AD133=15,J133,0)</f>
        <v>0</v>
      </c>
      <c r="AB133" s="20">
        <f>IF(AD133=21,J133,0)</f>
        <v>0</v>
      </c>
      <c r="AD133" s="37">
        <v>21</v>
      </c>
      <c r="AE133" s="37">
        <f>G133*1</f>
        <v>0</v>
      </c>
      <c r="AF133" s="37">
        <f>G133*(1-1)</f>
        <v>0</v>
      </c>
      <c r="AG133" s="34" t="s">
        <v>13</v>
      </c>
      <c r="AM133" s="37">
        <f>F133*AE133</f>
        <v>0</v>
      </c>
      <c r="AN133" s="37">
        <f>F133*AF133</f>
        <v>0</v>
      </c>
      <c r="AO133" s="38" t="s">
        <v>1208</v>
      </c>
      <c r="AP133" s="38" t="s">
        <v>1228</v>
      </c>
      <c r="AQ133" s="28" t="s">
        <v>1234</v>
      </c>
      <c r="AS133" s="37">
        <f>AM133+AN133</f>
        <v>0</v>
      </c>
      <c r="AT133" s="37">
        <f>G133/(100-AU133)*100</f>
        <v>0</v>
      </c>
      <c r="AU133" s="37">
        <v>0</v>
      </c>
      <c r="AV133" s="37">
        <f>L133</f>
        <v>0.007388864999999999</v>
      </c>
    </row>
    <row r="134" spans="1:48" ht="12.75">
      <c r="A134" s="5" t="s">
        <v>83</v>
      </c>
      <c r="B134" s="5"/>
      <c r="C134" s="5" t="s">
        <v>460</v>
      </c>
      <c r="D134" s="5" t="s">
        <v>857</v>
      </c>
      <c r="E134" s="5" t="s">
        <v>1151</v>
      </c>
      <c r="F134" s="19">
        <v>42.834</v>
      </c>
      <c r="G134" s="19">
        <v>0</v>
      </c>
      <c r="H134" s="19">
        <f>F134*AE134</f>
        <v>0</v>
      </c>
      <c r="I134" s="19">
        <f>J134-H134</f>
        <v>0</v>
      </c>
      <c r="J134" s="19">
        <f>F134*G134</f>
        <v>0</v>
      </c>
      <c r="K134" s="19">
        <v>0.00023</v>
      </c>
      <c r="L134" s="19">
        <f>F134*K134</f>
        <v>0.00985182</v>
      </c>
      <c r="M134" s="33" t="s">
        <v>1177</v>
      </c>
      <c r="P134" s="37">
        <f>IF(AG134="5",J134,0)</f>
        <v>0</v>
      </c>
      <c r="R134" s="37">
        <f>IF(AG134="1",H134,0)</f>
        <v>0</v>
      </c>
      <c r="S134" s="37">
        <f>IF(AG134="1",I134,0)</f>
        <v>0</v>
      </c>
      <c r="T134" s="37">
        <f>IF(AG134="7",H134,0)</f>
        <v>0</v>
      </c>
      <c r="U134" s="37">
        <f>IF(AG134="7",I134,0)</f>
        <v>0</v>
      </c>
      <c r="V134" s="37">
        <f>IF(AG134="2",H134,0)</f>
        <v>0</v>
      </c>
      <c r="W134" s="37">
        <f>IF(AG134="2",I134,0)</f>
        <v>0</v>
      </c>
      <c r="X134" s="37">
        <f>IF(AG134="0",J134,0)</f>
        <v>0</v>
      </c>
      <c r="Y134" s="28"/>
      <c r="Z134" s="19">
        <f>IF(AD134=0,J134,0)</f>
        <v>0</v>
      </c>
      <c r="AA134" s="19">
        <f>IF(AD134=15,J134,0)</f>
        <v>0</v>
      </c>
      <c r="AB134" s="19">
        <f>IF(AD134=21,J134,0)</f>
        <v>0</v>
      </c>
      <c r="AD134" s="37">
        <v>21</v>
      </c>
      <c r="AE134" s="37">
        <f>G134*0.0705286328116708</f>
        <v>0</v>
      </c>
      <c r="AF134" s="37">
        <f>G134*(1-0.0705286328116708)</f>
        <v>0</v>
      </c>
      <c r="AG134" s="33" t="s">
        <v>13</v>
      </c>
      <c r="AM134" s="37">
        <f>F134*AE134</f>
        <v>0</v>
      </c>
      <c r="AN134" s="37">
        <f>F134*AF134</f>
        <v>0</v>
      </c>
      <c r="AO134" s="38" t="s">
        <v>1208</v>
      </c>
      <c r="AP134" s="38" t="s">
        <v>1228</v>
      </c>
      <c r="AQ134" s="28" t="s">
        <v>1234</v>
      </c>
      <c r="AS134" s="37">
        <f>AM134+AN134</f>
        <v>0</v>
      </c>
      <c r="AT134" s="37">
        <f>G134/(100-AU134)*100</f>
        <v>0</v>
      </c>
      <c r="AU134" s="37">
        <v>0</v>
      </c>
      <c r="AV134" s="37">
        <f>L134</f>
        <v>0.00985182</v>
      </c>
    </row>
    <row r="135" ht="12.75">
      <c r="D135" s="16" t="s">
        <v>858</v>
      </c>
    </row>
    <row r="136" spans="1:48" ht="12.75">
      <c r="A136" s="7" t="s">
        <v>84</v>
      </c>
      <c r="B136" s="7"/>
      <c r="C136" s="7" t="s">
        <v>461</v>
      </c>
      <c r="D136" s="7" t="s">
        <v>859</v>
      </c>
      <c r="E136" s="7" t="s">
        <v>1151</v>
      </c>
      <c r="F136" s="20">
        <v>44.9757</v>
      </c>
      <c r="G136" s="20">
        <v>0</v>
      </c>
      <c r="H136" s="20">
        <f>F136*AE136</f>
        <v>0</v>
      </c>
      <c r="I136" s="20">
        <f>J136-H136</f>
        <v>0</v>
      </c>
      <c r="J136" s="20">
        <f>F136*G136</f>
        <v>0</v>
      </c>
      <c r="K136" s="20">
        <v>0.0042</v>
      </c>
      <c r="L136" s="20">
        <f>F136*K136</f>
        <v>0.18889794000000001</v>
      </c>
      <c r="M136" s="34" t="s">
        <v>1177</v>
      </c>
      <c r="P136" s="37">
        <f>IF(AG136="5",J136,0)</f>
        <v>0</v>
      </c>
      <c r="R136" s="37">
        <f>IF(AG136="1",H136,0)</f>
        <v>0</v>
      </c>
      <c r="S136" s="37">
        <f>IF(AG136="1",I136,0)</f>
        <v>0</v>
      </c>
      <c r="T136" s="37">
        <f>IF(AG136="7",H136,0)</f>
        <v>0</v>
      </c>
      <c r="U136" s="37">
        <f>IF(AG136="7",I136,0)</f>
        <v>0</v>
      </c>
      <c r="V136" s="37">
        <f>IF(AG136="2",H136,0)</f>
        <v>0</v>
      </c>
      <c r="W136" s="37">
        <f>IF(AG136="2",I136,0)</f>
        <v>0</v>
      </c>
      <c r="X136" s="37">
        <f>IF(AG136="0",J136,0)</f>
        <v>0</v>
      </c>
      <c r="Y136" s="28"/>
      <c r="Z136" s="20">
        <f>IF(AD136=0,J136,0)</f>
        <v>0</v>
      </c>
      <c r="AA136" s="20">
        <f>IF(AD136=15,J136,0)</f>
        <v>0</v>
      </c>
      <c r="AB136" s="20">
        <f>IF(AD136=21,J136,0)</f>
        <v>0</v>
      </c>
      <c r="AD136" s="37">
        <v>21</v>
      </c>
      <c r="AE136" s="37">
        <f>G136*1</f>
        <v>0</v>
      </c>
      <c r="AF136" s="37">
        <f>G136*(1-1)</f>
        <v>0</v>
      </c>
      <c r="AG136" s="34" t="s">
        <v>13</v>
      </c>
      <c r="AM136" s="37">
        <f>F136*AE136</f>
        <v>0</v>
      </c>
      <c r="AN136" s="37">
        <f>F136*AF136</f>
        <v>0</v>
      </c>
      <c r="AO136" s="38" t="s">
        <v>1208</v>
      </c>
      <c r="AP136" s="38" t="s">
        <v>1228</v>
      </c>
      <c r="AQ136" s="28" t="s">
        <v>1234</v>
      </c>
      <c r="AS136" s="37">
        <f>AM136+AN136</f>
        <v>0</v>
      </c>
      <c r="AT136" s="37">
        <f>G136/(100-AU136)*100</f>
        <v>0</v>
      </c>
      <c r="AU136" s="37">
        <v>0</v>
      </c>
      <c r="AV136" s="37">
        <f>L136</f>
        <v>0.18889794000000001</v>
      </c>
    </row>
    <row r="137" spans="1:48" ht="12.75">
      <c r="A137" s="5" t="s">
        <v>85</v>
      </c>
      <c r="B137" s="5"/>
      <c r="C137" s="5" t="s">
        <v>462</v>
      </c>
      <c r="D137" s="5" t="s">
        <v>860</v>
      </c>
      <c r="E137" s="5" t="s">
        <v>1152</v>
      </c>
      <c r="F137" s="19">
        <v>0.2846</v>
      </c>
      <c r="G137" s="19">
        <v>0</v>
      </c>
      <c r="H137" s="19">
        <f>F137*AE137</f>
        <v>0</v>
      </c>
      <c r="I137" s="19">
        <f>J137-H137</f>
        <v>0</v>
      </c>
      <c r="J137" s="19">
        <f>F137*G137</f>
        <v>0</v>
      </c>
      <c r="K137" s="19">
        <v>0</v>
      </c>
      <c r="L137" s="19">
        <f>F137*K137</f>
        <v>0</v>
      </c>
      <c r="M137" s="33" t="s">
        <v>1177</v>
      </c>
      <c r="P137" s="37">
        <f>IF(AG137="5",J137,0)</f>
        <v>0</v>
      </c>
      <c r="R137" s="37">
        <f>IF(AG137="1",H137,0)</f>
        <v>0</v>
      </c>
      <c r="S137" s="37">
        <f>IF(AG137="1",I137,0)</f>
        <v>0</v>
      </c>
      <c r="T137" s="37">
        <f>IF(AG137="7",H137,0)</f>
        <v>0</v>
      </c>
      <c r="U137" s="37">
        <f>IF(AG137="7",I137,0)</f>
        <v>0</v>
      </c>
      <c r="V137" s="37">
        <f>IF(AG137="2",H137,0)</f>
        <v>0</v>
      </c>
      <c r="W137" s="37">
        <f>IF(AG137="2",I137,0)</f>
        <v>0</v>
      </c>
      <c r="X137" s="37">
        <f>IF(AG137="0",J137,0)</f>
        <v>0</v>
      </c>
      <c r="Y137" s="28"/>
      <c r="Z137" s="19">
        <f>IF(AD137=0,J137,0)</f>
        <v>0</v>
      </c>
      <c r="AA137" s="19">
        <f>IF(AD137=15,J137,0)</f>
        <v>0</v>
      </c>
      <c r="AB137" s="19">
        <f>IF(AD137=21,J137,0)</f>
        <v>0</v>
      </c>
      <c r="AD137" s="37">
        <v>21</v>
      </c>
      <c r="AE137" s="37">
        <f>G137*0</f>
        <v>0</v>
      </c>
      <c r="AF137" s="37">
        <f>G137*(1-0)</f>
        <v>0</v>
      </c>
      <c r="AG137" s="33" t="s">
        <v>11</v>
      </c>
      <c r="AM137" s="37">
        <f>F137*AE137</f>
        <v>0</v>
      </c>
      <c r="AN137" s="37">
        <f>F137*AF137</f>
        <v>0</v>
      </c>
      <c r="AO137" s="38" t="s">
        <v>1208</v>
      </c>
      <c r="AP137" s="38" t="s">
        <v>1228</v>
      </c>
      <c r="AQ137" s="28" t="s">
        <v>1234</v>
      </c>
      <c r="AS137" s="37">
        <f>AM137+AN137</f>
        <v>0</v>
      </c>
      <c r="AT137" s="37">
        <f>G137/(100-AU137)*100</f>
        <v>0</v>
      </c>
      <c r="AU137" s="37">
        <v>0</v>
      </c>
      <c r="AV137" s="37">
        <f>L137</f>
        <v>0</v>
      </c>
    </row>
    <row r="138" spans="1:37" ht="12.75">
      <c r="A138" s="6"/>
      <c r="B138" s="14"/>
      <c r="C138" s="14" t="s">
        <v>463</v>
      </c>
      <c r="D138" s="14" t="s">
        <v>861</v>
      </c>
      <c r="E138" s="6" t="s">
        <v>6</v>
      </c>
      <c r="F138" s="6" t="s">
        <v>6</v>
      </c>
      <c r="G138" s="6" t="s">
        <v>6</v>
      </c>
      <c r="H138" s="40">
        <f>SUM(H139:H181)</f>
        <v>0</v>
      </c>
      <c r="I138" s="40">
        <f>SUM(I139:I181)</f>
        <v>0</v>
      </c>
      <c r="J138" s="40">
        <f>H138+I138</f>
        <v>0</v>
      </c>
      <c r="K138" s="28"/>
      <c r="L138" s="40">
        <f>SUM(L139:L181)</f>
        <v>0</v>
      </c>
      <c r="M138" s="28"/>
      <c r="Y138" s="28"/>
      <c r="AI138" s="40">
        <f>SUM(Z139:Z181)</f>
        <v>0</v>
      </c>
      <c r="AJ138" s="40">
        <f>SUM(AA139:AA181)</f>
        <v>0</v>
      </c>
      <c r="AK138" s="40">
        <f>SUM(AB139:AB181)</f>
        <v>0</v>
      </c>
    </row>
    <row r="139" spans="1:48" ht="12.75">
      <c r="A139" s="5" t="s">
        <v>86</v>
      </c>
      <c r="B139" s="5"/>
      <c r="C139" s="5" t="s">
        <v>464</v>
      </c>
      <c r="D139" s="5" t="s">
        <v>862</v>
      </c>
      <c r="E139" s="5" t="s">
        <v>1154</v>
      </c>
      <c r="F139" s="19">
        <v>6.1</v>
      </c>
      <c r="G139" s="19">
        <v>0</v>
      </c>
      <c r="H139" s="19">
        <f aca="true" t="shared" si="22" ref="H139:H181">F139*AE139</f>
        <v>0</v>
      </c>
      <c r="I139" s="19">
        <f aca="true" t="shared" si="23" ref="I139:I181">J139-H139</f>
        <v>0</v>
      </c>
      <c r="J139" s="19">
        <f aca="true" t="shared" si="24" ref="J139:J181">F139*G139</f>
        <v>0</v>
      </c>
      <c r="K139" s="19">
        <v>0</v>
      </c>
      <c r="L139" s="19">
        <f aca="true" t="shared" si="25" ref="L139:L181">F139*K139</f>
        <v>0</v>
      </c>
      <c r="M139" s="33" t="s">
        <v>1177</v>
      </c>
      <c r="P139" s="37">
        <f aca="true" t="shared" si="26" ref="P139:P181">IF(AG139="5",J139,0)</f>
        <v>0</v>
      </c>
      <c r="R139" s="37">
        <f aca="true" t="shared" si="27" ref="R139:R181">IF(AG139="1",H139,0)</f>
        <v>0</v>
      </c>
      <c r="S139" s="37">
        <f aca="true" t="shared" si="28" ref="S139:S181">IF(AG139="1",I139,0)</f>
        <v>0</v>
      </c>
      <c r="T139" s="37">
        <f aca="true" t="shared" si="29" ref="T139:T181">IF(AG139="7",H139,0)</f>
        <v>0</v>
      </c>
      <c r="U139" s="37">
        <f aca="true" t="shared" si="30" ref="U139:U181">IF(AG139="7",I139,0)</f>
        <v>0</v>
      </c>
      <c r="V139" s="37">
        <f aca="true" t="shared" si="31" ref="V139:V181">IF(AG139="2",H139,0)</f>
        <v>0</v>
      </c>
      <c r="W139" s="37">
        <f aca="true" t="shared" si="32" ref="W139:W181">IF(AG139="2",I139,0)</f>
        <v>0</v>
      </c>
      <c r="X139" s="37">
        <f aca="true" t="shared" si="33" ref="X139:X181">IF(AG139="0",J139,0)</f>
        <v>0</v>
      </c>
      <c r="Y139" s="28"/>
      <c r="Z139" s="19">
        <f aca="true" t="shared" si="34" ref="Z139:Z181">IF(AD139=0,J139,0)</f>
        <v>0</v>
      </c>
      <c r="AA139" s="19">
        <f aca="true" t="shared" si="35" ref="AA139:AA181">IF(AD139=15,J139,0)</f>
        <v>0</v>
      </c>
      <c r="AB139" s="19">
        <f aca="true" t="shared" si="36" ref="AB139:AB181">IF(AD139=21,J139,0)</f>
        <v>0</v>
      </c>
      <c r="AD139" s="37">
        <v>21</v>
      </c>
      <c r="AE139" s="37">
        <f aca="true" t="shared" si="37" ref="AE139:AE181">G139*0</f>
        <v>0</v>
      </c>
      <c r="AF139" s="37">
        <f aca="true" t="shared" si="38" ref="AF139:AF181">G139*(1-0)</f>
        <v>0</v>
      </c>
      <c r="AG139" s="33" t="s">
        <v>13</v>
      </c>
      <c r="AM139" s="37">
        <f aca="true" t="shared" si="39" ref="AM139:AM181">F139*AE139</f>
        <v>0</v>
      </c>
      <c r="AN139" s="37">
        <f aca="true" t="shared" si="40" ref="AN139:AN181">F139*AF139</f>
        <v>0</v>
      </c>
      <c r="AO139" s="38" t="s">
        <v>1209</v>
      </c>
      <c r="AP139" s="38" t="s">
        <v>1229</v>
      </c>
      <c r="AQ139" s="28" t="s">
        <v>1234</v>
      </c>
      <c r="AS139" s="37">
        <f aca="true" t="shared" si="41" ref="AS139:AS181">AM139+AN139</f>
        <v>0</v>
      </c>
      <c r="AT139" s="37">
        <f aca="true" t="shared" si="42" ref="AT139:AT181">G139/(100-AU139)*100</f>
        <v>0</v>
      </c>
      <c r="AU139" s="37">
        <v>0</v>
      </c>
      <c r="AV139" s="37">
        <f aca="true" t="shared" si="43" ref="AV139:AV181">L139</f>
        <v>0</v>
      </c>
    </row>
    <row r="140" spans="1:48" ht="12.75">
      <c r="A140" s="5" t="s">
        <v>87</v>
      </c>
      <c r="B140" s="5"/>
      <c r="C140" s="5" t="s">
        <v>465</v>
      </c>
      <c r="D140" s="5" t="s">
        <v>863</v>
      </c>
      <c r="E140" s="5" t="s">
        <v>1153</v>
      </c>
      <c r="F140" s="19">
        <v>1</v>
      </c>
      <c r="G140" s="19">
        <v>0</v>
      </c>
      <c r="H140" s="19">
        <f t="shared" si="22"/>
        <v>0</v>
      </c>
      <c r="I140" s="19">
        <f t="shared" si="23"/>
        <v>0</v>
      </c>
      <c r="J140" s="19">
        <f t="shared" si="24"/>
        <v>0</v>
      </c>
      <c r="K140" s="19">
        <v>0</v>
      </c>
      <c r="L140" s="19">
        <f t="shared" si="25"/>
        <v>0</v>
      </c>
      <c r="M140" s="33" t="s">
        <v>1177</v>
      </c>
      <c r="P140" s="37">
        <f t="shared" si="26"/>
        <v>0</v>
      </c>
      <c r="R140" s="37">
        <f t="shared" si="27"/>
        <v>0</v>
      </c>
      <c r="S140" s="37">
        <f t="shared" si="28"/>
        <v>0</v>
      </c>
      <c r="T140" s="37">
        <f t="shared" si="29"/>
        <v>0</v>
      </c>
      <c r="U140" s="37">
        <f t="shared" si="30"/>
        <v>0</v>
      </c>
      <c r="V140" s="37">
        <f t="shared" si="31"/>
        <v>0</v>
      </c>
      <c r="W140" s="37">
        <f t="shared" si="32"/>
        <v>0</v>
      </c>
      <c r="X140" s="37">
        <f t="shared" si="33"/>
        <v>0</v>
      </c>
      <c r="Y140" s="28"/>
      <c r="Z140" s="19">
        <f t="shared" si="34"/>
        <v>0</v>
      </c>
      <c r="AA140" s="19">
        <f t="shared" si="35"/>
        <v>0</v>
      </c>
      <c r="AB140" s="19">
        <f t="shared" si="36"/>
        <v>0</v>
      </c>
      <c r="AD140" s="37">
        <v>21</v>
      </c>
      <c r="AE140" s="37">
        <f t="shared" si="37"/>
        <v>0</v>
      </c>
      <c r="AF140" s="37">
        <f t="shared" si="38"/>
        <v>0</v>
      </c>
      <c r="AG140" s="33" t="s">
        <v>13</v>
      </c>
      <c r="AM140" s="37">
        <f t="shared" si="39"/>
        <v>0</v>
      </c>
      <c r="AN140" s="37">
        <f t="shared" si="40"/>
        <v>0</v>
      </c>
      <c r="AO140" s="38" t="s">
        <v>1209</v>
      </c>
      <c r="AP140" s="38" t="s">
        <v>1229</v>
      </c>
      <c r="AQ140" s="28" t="s">
        <v>1234</v>
      </c>
      <c r="AS140" s="37">
        <f t="shared" si="41"/>
        <v>0</v>
      </c>
      <c r="AT140" s="37">
        <f t="shared" si="42"/>
        <v>0</v>
      </c>
      <c r="AU140" s="37">
        <v>0</v>
      </c>
      <c r="AV140" s="37">
        <f t="shared" si="43"/>
        <v>0</v>
      </c>
    </row>
    <row r="141" spans="1:48" ht="12.75">
      <c r="A141" s="5" t="s">
        <v>88</v>
      </c>
      <c r="B141" s="5"/>
      <c r="C141" s="5" t="s">
        <v>466</v>
      </c>
      <c r="D141" s="5" t="s">
        <v>864</v>
      </c>
      <c r="E141" s="5" t="s">
        <v>1154</v>
      </c>
      <c r="F141" s="19">
        <v>6.1</v>
      </c>
      <c r="G141" s="19">
        <v>0</v>
      </c>
      <c r="H141" s="19">
        <f t="shared" si="22"/>
        <v>0</v>
      </c>
      <c r="I141" s="19">
        <f t="shared" si="23"/>
        <v>0</v>
      </c>
      <c r="J141" s="19">
        <f t="shared" si="24"/>
        <v>0</v>
      </c>
      <c r="K141" s="19">
        <v>0</v>
      </c>
      <c r="L141" s="19">
        <f t="shared" si="25"/>
        <v>0</v>
      </c>
      <c r="M141" s="33" t="s">
        <v>1177</v>
      </c>
      <c r="P141" s="37">
        <f t="shared" si="26"/>
        <v>0</v>
      </c>
      <c r="R141" s="37">
        <f t="shared" si="27"/>
        <v>0</v>
      </c>
      <c r="S141" s="37">
        <f t="shared" si="28"/>
        <v>0</v>
      </c>
      <c r="T141" s="37">
        <f t="shared" si="29"/>
        <v>0</v>
      </c>
      <c r="U141" s="37">
        <f t="shared" si="30"/>
        <v>0</v>
      </c>
      <c r="V141" s="37">
        <f t="shared" si="31"/>
        <v>0</v>
      </c>
      <c r="W141" s="37">
        <f t="shared" si="32"/>
        <v>0</v>
      </c>
      <c r="X141" s="37">
        <f t="shared" si="33"/>
        <v>0</v>
      </c>
      <c r="Y141" s="28"/>
      <c r="Z141" s="19">
        <f t="shared" si="34"/>
        <v>0</v>
      </c>
      <c r="AA141" s="19">
        <f t="shared" si="35"/>
        <v>0</v>
      </c>
      <c r="AB141" s="19">
        <f t="shared" si="36"/>
        <v>0</v>
      </c>
      <c r="AD141" s="37">
        <v>21</v>
      </c>
      <c r="AE141" s="37">
        <f t="shared" si="37"/>
        <v>0</v>
      </c>
      <c r="AF141" s="37">
        <f t="shared" si="38"/>
        <v>0</v>
      </c>
      <c r="AG141" s="33" t="s">
        <v>13</v>
      </c>
      <c r="AM141" s="37">
        <f t="shared" si="39"/>
        <v>0</v>
      </c>
      <c r="AN141" s="37">
        <f t="shared" si="40"/>
        <v>0</v>
      </c>
      <c r="AO141" s="38" t="s">
        <v>1209</v>
      </c>
      <c r="AP141" s="38" t="s">
        <v>1229</v>
      </c>
      <c r="AQ141" s="28" t="s">
        <v>1234</v>
      </c>
      <c r="AS141" s="37">
        <f t="shared" si="41"/>
        <v>0</v>
      </c>
      <c r="AT141" s="37">
        <f t="shared" si="42"/>
        <v>0</v>
      </c>
      <c r="AU141" s="37">
        <v>0</v>
      </c>
      <c r="AV141" s="37">
        <f t="shared" si="43"/>
        <v>0</v>
      </c>
    </row>
    <row r="142" spans="1:48" ht="12.75">
      <c r="A142" s="5" t="s">
        <v>89</v>
      </c>
      <c r="B142" s="5"/>
      <c r="C142" s="5" t="s">
        <v>467</v>
      </c>
      <c r="D142" s="5" t="s">
        <v>865</v>
      </c>
      <c r="E142" s="5" t="s">
        <v>1154</v>
      </c>
      <c r="F142" s="19">
        <v>6.1</v>
      </c>
      <c r="G142" s="19">
        <v>0</v>
      </c>
      <c r="H142" s="19">
        <f t="shared" si="22"/>
        <v>0</v>
      </c>
      <c r="I142" s="19">
        <f t="shared" si="23"/>
        <v>0</v>
      </c>
      <c r="J142" s="19">
        <f t="shared" si="24"/>
        <v>0</v>
      </c>
      <c r="K142" s="19">
        <v>0</v>
      </c>
      <c r="L142" s="19">
        <f t="shared" si="25"/>
        <v>0</v>
      </c>
      <c r="M142" s="33" t="s">
        <v>1177</v>
      </c>
      <c r="P142" s="37">
        <f t="shared" si="26"/>
        <v>0</v>
      </c>
      <c r="R142" s="37">
        <f t="shared" si="27"/>
        <v>0</v>
      </c>
      <c r="S142" s="37">
        <f t="shared" si="28"/>
        <v>0</v>
      </c>
      <c r="T142" s="37">
        <f t="shared" si="29"/>
        <v>0</v>
      </c>
      <c r="U142" s="37">
        <f t="shared" si="30"/>
        <v>0</v>
      </c>
      <c r="V142" s="37">
        <f t="shared" si="31"/>
        <v>0</v>
      </c>
      <c r="W142" s="37">
        <f t="shared" si="32"/>
        <v>0</v>
      </c>
      <c r="X142" s="37">
        <f t="shared" si="33"/>
        <v>0</v>
      </c>
      <c r="Y142" s="28"/>
      <c r="Z142" s="19">
        <f t="shared" si="34"/>
        <v>0</v>
      </c>
      <c r="AA142" s="19">
        <f t="shared" si="35"/>
        <v>0</v>
      </c>
      <c r="AB142" s="19">
        <f t="shared" si="36"/>
        <v>0</v>
      </c>
      <c r="AD142" s="37">
        <v>21</v>
      </c>
      <c r="AE142" s="37">
        <f t="shared" si="37"/>
        <v>0</v>
      </c>
      <c r="AF142" s="37">
        <f t="shared" si="38"/>
        <v>0</v>
      </c>
      <c r="AG142" s="33" t="s">
        <v>13</v>
      </c>
      <c r="AM142" s="37">
        <f t="shared" si="39"/>
        <v>0</v>
      </c>
      <c r="AN142" s="37">
        <f t="shared" si="40"/>
        <v>0</v>
      </c>
      <c r="AO142" s="38" t="s">
        <v>1209</v>
      </c>
      <c r="AP142" s="38" t="s">
        <v>1229</v>
      </c>
      <c r="AQ142" s="28" t="s">
        <v>1234</v>
      </c>
      <c r="AS142" s="37">
        <f t="shared" si="41"/>
        <v>0</v>
      </c>
      <c r="AT142" s="37">
        <f t="shared" si="42"/>
        <v>0</v>
      </c>
      <c r="AU142" s="37">
        <v>0</v>
      </c>
      <c r="AV142" s="37">
        <f t="shared" si="43"/>
        <v>0</v>
      </c>
    </row>
    <row r="143" spans="1:48" ht="12.75">
      <c r="A143" s="5" t="s">
        <v>90</v>
      </c>
      <c r="B143" s="5"/>
      <c r="C143" s="5" t="s">
        <v>468</v>
      </c>
      <c r="D143" s="5" t="s">
        <v>866</v>
      </c>
      <c r="E143" s="5" t="s">
        <v>1154</v>
      </c>
      <c r="F143" s="19">
        <v>6.1</v>
      </c>
      <c r="G143" s="19">
        <v>0</v>
      </c>
      <c r="H143" s="19">
        <f t="shared" si="22"/>
        <v>0</v>
      </c>
      <c r="I143" s="19">
        <f t="shared" si="23"/>
        <v>0</v>
      </c>
      <c r="J143" s="19">
        <f t="shared" si="24"/>
        <v>0</v>
      </c>
      <c r="K143" s="19">
        <v>0</v>
      </c>
      <c r="L143" s="19">
        <f t="shared" si="25"/>
        <v>0</v>
      </c>
      <c r="M143" s="33" t="s">
        <v>1177</v>
      </c>
      <c r="P143" s="37">
        <f t="shared" si="26"/>
        <v>0</v>
      </c>
      <c r="R143" s="37">
        <f t="shared" si="27"/>
        <v>0</v>
      </c>
      <c r="S143" s="37">
        <f t="shared" si="28"/>
        <v>0</v>
      </c>
      <c r="T143" s="37">
        <f t="shared" si="29"/>
        <v>0</v>
      </c>
      <c r="U143" s="37">
        <f t="shared" si="30"/>
        <v>0</v>
      </c>
      <c r="V143" s="37">
        <f t="shared" si="31"/>
        <v>0</v>
      </c>
      <c r="W143" s="37">
        <f t="shared" si="32"/>
        <v>0</v>
      </c>
      <c r="X143" s="37">
        <f t="shared" si="33"/>
        <v>0</v>
      </c>
      <c r="Y143" s="28"/>
      <c r="Z143" s="19">
        <f t="shared" si="34"/>
        <v>0</v>
      </c>
      <c r="AA143" s="19">
        <f t="shared" si="35"/>
        <v>0</v>
      </c>
      <c r="AB143" s="19">
        <f t="shared" si="36"/>
        <v>0</v>
      </c>
      <c r="AD143" s="37">
        <v>21</v>
      </c>
      <c r="AE143" s="37">
        <f t="shared" si="37"/>
        <v>0</v>
      </c>
      <c r="AF143" s="37">
        <f t="shared" si="38"/>
        <v>0</v>
      </c>
      <c r="AG143" s="33" t="s">
        <v>13</v>
      </c>
      <c r="AM143" s="37">
        <f t="shared" si="39"/>
        <v>0</v>
      </c>
      <c r="AN143" s="37">
        <f t="shared" si="40"/>
        <v>0</v>
      </c>
      <c r="AO143" s="38" t="s">
        <v>1209</v>
      </c>
      <c r="AP143" s="38" t="s">
        <v>1229</v>
      </c>
      <c r="AQ143" s="28" t="s">
        <v>1234</v>
      </c>
      <c r="AS143" s="37">
        <f t="shared" si="41"/>
        <v>0</v>
      </c>
      <c r="AT143" s="37">
        <f t="shared" si="42"/>
        <v>0</v>
      </c>
      <c r="AU143" s="37">
        <v>0</v>
      </c>
      <c r="AV143" s="37">
        <f t="shared" si="43"/>
        <v>0</v>
      </c>
    </row>
    <row r="144" spans="1:48" ht="12.75">
      <c r="A144" s="5" t="s">
        <v>91</v>
      </c>
      <c r="B144" s="5"/>
      <c r="C144" s="5" t="s">
        <v>469</v>
      </c>
      <c r="D144" s="5" t="s">
        <v>867</v>
      </c>
      <c r="E144" s="5" t="s">
        <v>1153</v>
      </c>
      <c r="F144" s="19">
        <v>1</v>
      </c>
      <c r="G144" s="19">
        <v>0</v>
      </c>
      <c r="H144" s="19">
        <f t="shared" si="22"/>
        <v>0</v>
      </c>
      <c r="I144" s="19">
        <f t="shared" si="23"/>
        <v>0</v>
      </c>
      <c r="J144" s="19">
        <f t="shared" si="24"/>
        <v>0</v>
      </c>
      <c r="K144" s="19">
        <v>0</v>
      </c>
      <c r="L144" s="19">
        <f t="shared" si="25"/>
        <v>0</v>
      </c>
      <c r="M144" s="33" t="s">
        <v>1177</v>
      </c>
      <c r="P144" s="37">
        <f t="shared" si="26"/>
        <v>0</v>
      </c>
      <c r="R144" s="37">
        <f t="shared" si="27"/>
        <v>0</v>
      </c>
      <c r="S144" s="37">
        <f t="shared" si="28"/>
        <v>0</v>
      </c>
      <c r="T144" s="37">
        <f t="shared" si="29"/>
        <v>0</v>
      </c>
      <c r="U144" s="37">
        <f t="shared" si="30"/>
        <v>0</v>
      </c>
      <c r="V144" s="37">
        <f t="shared" si="31"/>
        <v>0</v>
      </c>
      <c r="W144" s="37">
        <f t="shared" si="32"/>
        <v>0</v>
      </c>
      <c r="X144" s="37">
        <f t="shared" si="33"/>
        <v>0</v>
      </c>
      <c r="Y144" s="28"/>
      <c r="Z144" s="19">
        <f t="shared" si="34"/>
        <v>0</v>
      </c>
      <c r="AA144" s="19">
        <f t="shared" si="35"/>
        <v>0</v>
      </c>
      <c r="AB144" s="19">
        <f t="shared" si="36"/>
        <v>0</v>
      </c>
      <c r="AD144" s="37">
        <v>21</v>
      </c>
      <c r="AE144" s="37">
        <f t="shared" si="37"/>
        <v>0</v>
      </c>
      <c r="AF144" s="37">
        <f t="shared" si="38"/>
        <v>0</v>
      </c>
      <c r="AG144" s="33" t="s">
        <v>13</v>
      </c>
      <c r="AM144" s="37">
        <f t="shared" si="39"/>
        <v>0</v>
      </c>
      <c r="AN144" s="37">
        <f t="shared" si="40"/>
        <v>0</v>
      </c>
      <c r="AO144" s="38" t="s">
        <v>1209</v>
      </c>
      <c r="AP144" s="38" t="s">
        <v>1229</v>
      </c>
      <c r="AQ144" s="28" t="s">
        <v>1234</v>
      </c>
      <c r="AS144" s="37">
        <f t="shared" si="41"/>
        <v>0</v>
      </c>
      <c r="AT144" s="37">
        <f t="shared" si="42"/>
        <v>0</v>
      </c>
      <c r="AU144" s="37">
        <v>0</v>
      </c>
      <c r="AV144" s="37">
        <f t="shared" si="43"/>
        <v>0</v>
      </c>
    </row>
    <row r="145" spans="1:48" ht="12.75">
      <c r="A145" s="5" t="s">
        <v>92</v>
      </c>
      <c r="B145" s="5"/>
      <c r="C145" s="5" t="s">
        <v>470</v>
      </c>
      <c r="D145" s="5" t="s">
        <v>868</v>
      </c>
      <c r="E145" s="5" t="s">
        <v>1154</v>
      </c>
      <c r="F145" s="19">
        <v>9.7</v>
      </c>
      <c r="G145" s="19">
        <v>0</v>
      </c>
      <c r="H145" s="19">
        <f t="shared" si="22"/>
        <v>0</v>
      </c>
      <c r="I145" s="19">
        <f t="shared" si="23"/>
        <v>0</v>
      </c>
      <c r="J145" s="19">
        <f t="shared" si="24"/>
        <v>0</v>
      </c>
      <c r="K145" s="19">
        <v>0</v>
      </c>
      <c r="L145" s="19">
        <f t="shared" si="25"/>
        <v>0</v>
      </c>
      <c r="M145" s="33" t="s">
        <v>1177</v>
      </c>
      <c r="P145" s="37">
        <f t="shared" si="26"/>
        <v>0</v>
      </c>
      <c r="R145" s="37">
        <f t="shared" si="27"/>
        <v>0</v>
      </c>
      <c r="S145" s="37">
        <f t="shared" si="28"/>
        <v>0</v>
      </c>
      <c r="T145" s="37">
        <f t="shared" si="29"/>
        <v>0</v>
      </c>
      <c r="U145" s="37">
        <f t="shared" si="30"/>
        <v>0</v>
      </c>
      <c r="V145" s="37">
        <f t="shared" si="31"/>
        <v>0</v>
      </c>
      <c r="W145" s="37">
        <f t="shared" si="32"/>
        <v>0</v>
      </c>
      <c r="X145" s="37">
        <f t="shared" si="33"/>
        <v>0</v>
      </c>
      <c r="Y145" s="28"/>
      <c r="Z145" s="19">
        <f t="shared" si="34"/>
        <v>0</v>
      </c>
      <c r="AA145" s="19">
        <f t="shared" si="35"/>
        <v>0</v>
      </c>
      <c r="AB145" s="19">
        <f t="shared" si="36"/>
        <v>0</v>
      </c>
      <c r="AD145" s="37">
        <v>21</v>
      </c>
      <c r="AE145" s="37">
        <f t="shared" si="37"/>
        <v>0</v>
      </c>
      <c r="AF145" s="37">
        <f t="shared" si="38"/>
        <v>0</v>
      </c>
      <c r="AG145" s="33" t="s">
        <v>13</v>
      </c>
      <c r="AM145" s="37">
        <f t="shared" si="39"/>
        <v>0</v>
      </c>
      <c r="AN145" s="37">
        <f t="shared" si="40"/>
        <v>0</v>
      </c>
      <c r="AO145" s="38" t="s">
        <v>1209</v>
      </c>
      <c r="AP145" s="38" t="s">
        <v>1229</v>
      </c>
      <c r="AQ145" s="28" t="s">
        <v>1234</v>
      </c>
      <c r="AS145" s="37">
        <f t="shared" si="41"/>
        <v>0</v>
      </c>
      <c r="AT145" s="37">
        <f t="shared" si="42"/>
        <v>0</v>
      </c>
      <c r="AU145" s="37">
        <v>0</v>
      </c>
      <c r="AV145" s="37">
        <f t="shared" si="43"/>
        <v>0</v>
      </c>
    </row>
    <row r="146" spans="1:48" ht="12.75">
      <c r="A146" s="5" t="s">
        <v>93</v>
      </c>
      <c r="B146" s="5"/>
      <c r="C146" s="5" t="s">
        <v>471</v>
      </c>
      <c r="D146" s="5" t="s">
        <v>869</v>
      </c>
      <c r="E146" s="5" t="s">
        <v>1154</v>
      </c>
      <c r="F146" s="19">
        <v>16.6</v>
      </c>
      <c r="G146" s="19">
        <v>0</v>
      </c>
      <c r="H146" s="19">
        <f t="shared" si="22"/>
        <v>0</v>
      </c>
      <c r="I146" s="19">
        <f t="shared" si="23"/>
        <v>0</v>
      </c>
      <c r="J146" s="19">
        <f t="shared" si="24"/>
        <v>0</v>
      </c>
      <c r="K146" s="19">
        <v>0</v>
      </c>
      <c r="L146" s="19">
        <f t="shared" si="25"/>
        <v>0</v>
      </c>
      <c r="M146" s="33" t="s">
        <v>1177</v>
      </c>
      <c r="P146" s="37">
        <f t="shared" si="26"/>
        <v>0</v>
      </c>
      <c r="R146" s="37">
        <f t="shared" si="27"/>
        <v>0</v>
      </c>
      <c r="S146" s="37">
        <f t="shared" si="28"/>
        <v>0</v>
      </c>
      <c r="T146" s="37">
        <f t="shared" si="29"/>
        <v>0</v>
      </c>
      <c r="U146" s="37">
        <f t="shared" si="30"/>
        <v>0</v>
      </c>
      <c r="V146" s="37">
        <f t="shared" si="31"/>
        <v>0</v>
      </c>
      <c r="W146" s="37">
        <f t="shared" si="32"/>
        <v>0</v>
      </c>
      <c r="X146" s="37">
        <f t="shared" si="33"/>
        <v>0</v>
      </c>
      <c r="Y146" s="28"/>
      <c r="Z146" s="19">
        <f t="shared" si="34"/>
        <v>0</v>
      </c>
      <c r="AA146" s="19">
        <f t="shared" si="35"/>
        <v>0</v>
      </c>
      <c r="AB146" s="19">
        <f t="shared" si="36"/>
        <v>0</v>
      </c>
      <c r="AD146" s="37">
        <v>21</v>
      </c>
      <c r="AE146" s="37">
        <f t="shared" si="37"/>
        <v>0</v>
      </c>
      <c r="AF146" s="37">
        <f t="shared" si="38"/>
        <v>0</v>
      </c>
      <c r="AG146" s="33" t="s">
        <v>13</v>
      </c>
      <c r="AM146" s="37">
        <f t="shared" si="39"/>
        <v>0</v>
      </c>
      <c r="AN146" s="37">
        <f t="shared" si="40"/>
        <v>0</v>
      </c>
      <c r="AO146" s="38" t="s">
        <v>1209</v>
      </c>
      <c r="AP146" s="38" t="s">
        <v>1229</v>
      </c>
      <c r="AQ146" s="28" t="s">
        <v>1234</v>
      </c>
      <c r="AS146" s="37">
        <f t="shared" si="41"/>
        <v>0</v>
      </c>
      <c r="AT146" s="37">
        <f t="shared" si="42"/>
        <v>0</v>
      </c>
      <c r="AU146" s="37">
        <v>0</v>
      </c>
      <c r="AV146" s="37">
        <f t="shared" si="43"/>
        <v>0</v>
      </c>
    </row>
    <row r="147" spans="1:48" ht="12.75">
      <c r="A147" s="5" t="s">
        <v>94</v>
      </c>
      <c r="B147" s="5"/>
      <c r="C147" s="5" t="s">
        <v>472</v>
      </c>
      <c r="D147" s="5" t="s">
        <v>870</v>
      </c>
      <c r="E147" s="5" t="s">
        <v>1154</v>
      </c>
      <c r="F147" s="19">
        <v>13.8</v>
      </c>
      <c r="G147" s="19">
        <v>0</v>
      </c>
      <c r="H147" s="19">
        <f t="shared" si="22"/>
        <v>0</v>
      </c>
      <c r="I147" s="19">
        <f t="shared" si="23"/>
        <v>0</v>
      </c>
      <c r="J147" s="19">
        <f t="shared" si="24"/>
        <v>0</v>
      </c>
      <c r="K147" s="19">
        <v>0</v>
      </c>
      <c r="L147" s="19">
        <f t="shared" si="25"/>
        <v>0</v>
      </c>
      <c r="M147" s="33" t="s">
        <v>1177</v>
      </c>
      <c r="P147" s="37">
        <f t="shared" si="26"/>
        <v>0</v>
      </c>
      <c r="R147" s="37">
        <f t="shared" si="27"/>
        <v>0</v>
      </c>
      <c r="S147" s="37">
        <f t="shared" si="28"/>
        <v>0</v>
      </c>
      <c r="T147" s="37">
        <f t="shared" si="29"/>
        <v>0</v>
      </c>
      <c r="U147" s="37">
        <f t="shared" si="30"/>
        <v>0</v>
      </c>
      <c r="V147" s="37">
        <f t="shared" si="31"/>
        <v>0</v>
      </c>
      <c r="W147" s="37">
        <f t="shared" si="32"/>
        <v>0</v>
      </c>
      <c r="X147" s="37">
        <f t="shared" si="33"/>
        <v>0</v>
      </c>
      <c r="Y147" s="28"/>
      <c r="Z147" s="19">
        <f t="shared" si="34"/>
        <v>0</v>
      </c>
      <c r="AA147" s="19">
        <f t="shared" si="35"/>
        <v>0</v>
      </c>
      <c r="AB147" s="19">
        <f t="shared" si="36"/>
        <v>0</v>
      </c>
      <c r="AD147" s="37">
        <v>21</v>
      </c>
      <c r="AE147" s="37">
        <f t="shared" si="37"/>
        <v>0</v>
      </c>
      <c r="AF147" s="37">
        <f t="shared" si="38"/>
        <v>0</v>
      </c>
      <c r="AG147" s="33" t="s">
        <v>13</v>
      </c>
      <c r="AM147" s="37">
        <f t="shared" si="39"/>
        <v>0</v>
      </c>
      <c r="AN147" s="37">
        <f t="shared" si="40"/>
        <v>0</v>
      </c>
      <c r="AO147" s="38" t="s">
        <v>1209</v>
      </c>
      <c r="AP147" s="38" t="s">
        <v>1229</v>
      </c>
      <c r="AQ147" s="28" t="s">
        <v>1234</v>
      </c>
      <c r="AS147" s="37">
        <f t="shared" si="41"/>
        <v>0</v>
      </c>
      <c r="AT147" s="37">
        <f t="shared" si="42"/>
        <v>0</v>
      </c>
      <c r="AU147" s="37">
        <v>0</v>
      </c>
      <c r="AV147" s="37">
        <f t="shared" si="43"/>
        <v>0</v>
      </c>
    </row>
    <row r="148" spans="1:48" ht="12.75">
      <c r="A148" s="5" t="s">
        <v>95</v>
      </c>
      <c r="B148" s="5"/>
      <c r="C148" s="5" t="s">
        <v>473</v>
      </c>
      <c r="D148" s="5" t="s">
        <v>871</v>
      </c>
      <c r="E148" s="5" t="s">
        <v>1154</v>
      </c>
      <c r="F148" s="19">
        <v>1.8</v>
      </c>
      <c r="G148" s="19">
        <v>0</v>
      </c>
      <c r="H148" s="19">
        <f t="shared" si="22"/>
        <v>0</v>
      </c>
      <c r="I148" s="19">
        <f t="shared" si="23"/>
        <v>0</v>
      </c>
      <c r="J148" s="19">
        <f t="shared" si="24"/>
        <v>0</v>
      </c>
      <c r="K148" s="19">
        <v>0</v>
      </c>
      <c r="L148" s="19">
        <f t="shared" si="25"/>
        <v>0</v>
      </c>
      <c r="M148" s="33" t="s">
        <v>1177</v>
      </c>
      <c r="P148" s="37">
        <f t="shared" si="26"/>
        <v>0</v>
      </c>
      <c r="R148" s="37">
        <f t="shared" si="27"/>
        <v>0</v>
      </c>
      <c r="S148" s="37">
        <f t="shared" si="28"/>
        <v>0</v>
      </c>
      <c r="T148" s="37">
        <f t="shared" si="29"/>
        <v>0</v>
      </c>
      <c r="U148" s="37">
        <f t="shared" si="30"/>
        <v>0</v>
      </c>
      <c r="V148" s="37">
        <f t="shared" si="31"/>
        <v>0</v>
      </c>
      <c r="W148" s="37">
        <f t="shared" si="32"/>
        <v>0</v>
      </c>
      <c r="X148" s="37">
        <f t="shared" si="33"/>
        <v>0</v>
      </c>
      <c r="Y148" s="28"/>
      <c r="Z148" s="19">
        <f t="shared" si="34"/>
        <v>0</v>
      </c>
      <c r="AA148" s="19">
        <f t="shared" si="35"/>
        <v>0</v>
      </c>
      <c r="AB148" s="19">
        <f t="shared" si="36"/>
        <v>0</v>
      </c>
      <c r="AD148" s="37">
        <v>21</v>
      </c>
      <c r="AE148" s="37">
        <f t="shared" si="37"/>
        <v>0</v>
      </c>
      <c r="AF148" s="37">
        <f t="shared" si="38"/>
        <v>0</v>
      </c>
      <c r="AG148" s="33" t="s">
        <v>13</v>
      </c>
      <c r="AM148" s="37">
        <f t="shared" si="39"/>
        <v>0</v>
      </c>
      <c r="AN148" s="37">
        <f t="shared" si="40"/>
        <v>0</v>
      </c>
      <c r="AO148" s="38" t="s">
        <v>1209</v>
      </c>
      <c r="AP148" s="38" t="s">
        <v>1229</v>
      </c>
      <c r="AQ148" s="28" t="s">
        <v>1234</v>
      </c>
      <c r="AS148" s="37">
        <f t="shared" si="41"/>
        <v>0</v>
      </c>
      <c r="AT148" s="37">
        <f t="shared" si="42"/>
        <v>0</v>
      </c>
      <c r="AU148" s="37">
        <v>0</v>
      </c>
      <c r="AV148" s="37">
        <f t="shared" si="43"/>
        <v>0</v>
      </c>
    </row>
    <row r="149" spans="1:48" ht="12.75">
      <c r="A149" s="5" t="s">
        <v>96</v>
      </c>
      <c r="B149" s="5"/>
      <c r="C149" s="5" t="s">
        <v>474</v>
      </c>
      <c r="D149" s="5" t="s">
        <v>872</v>
      </c>
      <c r="E149" s="5" t="s">
        <v>1154</v>
      </c>
      <c r="F149" s="19">
        <v>19.6</v>
      </c>
      <c r="G149" s="19">
        <v>0</v>
      </c>
      <c r="H149" s="19">
        <f t="shared" si="22"/>
        <v>0</v>
      </c>
      <c r="I149" s="19">
        <f t="shared" si="23"/>
        <v>0</v>
      </c>
      <c r="J149" s="19">
        <f t="shared" si="24"/>
        <v>0</v>
      </c>
      <c r="K149" s="19">
        <v>0</v>
      </c>
      <c r="L149" s="19">
        <f t="shared" si="25"/>
        <v>0</v>
      </c>
      <c r="M149" s="33" t="s">
        <v>1177</v>
      </c>
      <c r="P149" s="37">
        <f t="shared" si="26"/>
        <v>0</v>
      </c>
      <c r="R149" s="37">
        <f t="shared" si="27"/>
        <v>0</v>
      </c>
      <c r="S149" s="37">
        <f t="shared" si="28"/>
        <v>0</v>
      </c>
      <c r="T149" s="37">
        <f t="shared" si="29"/>
        <v>0</v>
      </c>
      <c r="U149" s="37">
        <f t="shared" si="30"/>
        <v>0</v>
      </c>
      <c r="V149" s="37">
        <f t="shared" si="31"/>
        <v>0</v>
      </c>
      <c r="W149" s="37">
        <f t="shared" si="32"/>
        <v>0</v>
      </c>
      <c r="X149" s="37">
        <f t="shared" si="33"/>
        <v>0</v>
      </c>
      <c r="Y149" s="28"/>
      <c r="Z149" s="19">
        <f t="shared" si="34"/>
        <v>0</v>
      </c>
      <c r="AA149" s="19">
        <f t="shared" si="35"/>
        <v>0</v>
      </c>
      <c r="AB149" s="19">
        <f t="shared" si="36"/>
        <v>0</v>
      </c>
      <c r="AD149" s="37">
        <v>21</v>
      </c>
      <c r="AE149" s="37">
        <f t="shared" si="37"/>
        <v>0</v>
      </c>
      <c r="AF149" s="37">
        <f t="shared" si="38"/>
        <v>0</v>
      </c>
      <c r="AG149" s="33" t="s">
        <v>13</v>
      </c>
      <c r="AM149" s="37">
        <f t="shared" si="39"/>
        <v>0</v>
      </c>
      <c r="AN149" s="37">
        <f t="shared" si="40"/>
        <v>0</v>
      </c>
      <c r="AO149" s="38" t="s">
        <v>1209</v>
      </c>
      <c r="AP149" s="38" t="s">
        <v>1229</v>
      </c>
      <c r="AQ149" s="28" t="s">
        <v>1234</v>
      </c>
      <c r="AS149" s="37">
        <f t="shared" si="41"/>
        <v>0</v>
      </c>
      <c r="AT149" s="37">
        <f t="shared" si="42"/>
        <v>0</v>
      </c>
      <c r="AU149" s="37">
        <v>0</v>
      </c>
      <c r="AV149" s="37">
        <f t="shared" si="43"/>
        <v>0</v>
      </c>
    </row>
    <row r="150" spans="1:48" ht="12.75">
      <c r="A150" s="5" t="s">
        <v>97</v>
      </c>
      <c r="B150" s="5"/>
      <c r="C150" s="5" t="s">
        <v>475</v>
      </c>
      <c r="D150" s="5" t="s">
        <v>873</v>
      </c>
      <c r="E150" s="5" t="s">
        <v>1154</v>
      </c>
      <c r="F150" s="19">
        <v>2.9</v>
      </c>
      <c r="G150" s="19">
        <v>0</v>
      </c>
      <c r="H150" s="19">
        <f t="shared" si="22"/>
        <v>0</v>
      </c>
      <c r="I150" s="19">
        <f t="shared" si="23"/>
        <v>0</v>
      </c>
      <c r="J150" s="19">
        <f t="shared" si="24"/>
        <v>0</v>
      </c>
      <c r="K150" s="19">
        <v>0</v>
      </c>
      <c r="L150" s="19">
        <f t="shared" si="25"/>
        <v>0</v>
      </c>
      <c r="M150" s="33" t="s">
        <v>1177</v>
      </c>
      <c r="P150" s="37">
        <f t="shared" si="26"/>
        <v>0</v>
      </c>
      <c r="R150" s="37">
        <f t="shared" si="27"/>
        <v>0</v>
      </c>
      <c r="S150" s="37">
        <f t="shared" si="28"/>
        <v>0</v>
      </c>
      <c r="T150" s="37">
        <f t="shared" si="29"/>
        <v>0</v>
      </c>
      <c r="U150" s="37">
        <f t="shared" si="30"/>
        <v>0</v>
      </c>
      <c r="V150" s="37">
        <f t="shared" si="31"/>
        <v>0</v>
      </c>
      <c r="W150" s="37">
        <f t="shared" si="32"/>
        <v>0</v>
      </c>
      <c r="X150" s="37">
        <f t="shared" si="33"/>
        <v>0</v>
      </c>
      <c r="Y150" s="28"/>
      <c r="Z150" s="19">
        <f t="shared" si="34"/>
        <v>0</v>
      </c>
      <c r="AA150" s="19">
        <f t="shared" si="35"/>
        <v>0</v>
      </c>
      <c r="AB150" s="19">
        <f t="shared" si="36"/>
        <v>0</v>
      </c>
      <c r="AD150" s="37">
        <v>21</v>
      </c>
      <c r="AE150" s="37">
        <f t="shared" si="37"/>
        <v>0</v>
      </c>
      <c r="AF150" s="37">
        <f t="shared" si="38"/>
        <v>0</v>
      </c>
      <c r="AG150" s="33" t="s">
        <v>13</v>
      </c>
      <c r="AM150" s="37">
        <f t="shared" si="39"/>
        <v>0</v>
      </c>
      <c r="AN150" s="37">
        <f t="shared" si="40"/>
        <v>0</v>
      </c>
      <c r="AO150" s="38" t="s">
        <v>1209</v>
      </c>
      <c r="AP150" s="38" t="s">
        <v>1229</v>
      </c>
      <c r="AQ150" s="28" t="s">
        <v>1234</v>
      </c>
      <c r="AS150" s="37">
        <f t="shared" si="41"/>
        <v>0</v>
      </c>
      <c r="AT150" s="37">
        <f t="shared" si="42"/>
        <v>0</v>
      </c>
      <c r="AU150" s="37">
        <v>0</v>
      </c>
      <c r="AV150" s="37">
        <f t="shared" si="43"/>
        <v>0</v>
      </c>
    </row>
    <row r="151" spans="1:48" ht="12.75">
      <c r="A151" s="5" t="s">
        <v>98</v>
      </c>
      <c r="B151" s="5"/>
      <c r="C151" s="5" t="s">
        <v>476</v>
      </c>
      <c r="D151" s="5" t="s">
        <v>874</v>
      </c>
      <c r="E151" s="5" t="s">
        <v>1153</v>
      </c>
      <c r="F151" s="19">
        <v>13</v>
      </c>
      <c r="G151" s="19">
        <v>0</v>
      </c>
      <c r="H151" s="19">
        <f t="shared" si="22"/>
        <v>0</v>
      </c>
      <c r="I151" s="19">
        <f t="shared" si="23"/>
        <v>0</v>
      </c>
      <c r="J151" s="19">
        <f t="shared" si="24"/>
        <v>0</v>
      </c>
      <c r="K151" s="19">
        <v>0</v>
      </c>
      <c r="L151" s="19">
        <f t="shared" si="25"/>
        <v>0</v>
      </c>
      <c r="M151" s="33" t="s">
        <v>1177</v>
      </c>
      <c r="P151" s="37">
        <f t="shared" si="26"/>
        <v>0</v>
      </c>
      <c r="R151" s="37">
        <f t="shared" si="27"/>
        <v>0</v>
      </c>
      <c r="S151" s="37">
        <f t="shared" si="28"/>
        <v>0</v>
      </c>
      <c r="T151" s="37">
        <f t="shared" si="29"/>
        <v>0</v>
      </c>
      <c r="U151" s="37">
        <f t="shared" si="30"/>
        <v>0</v>
      </c>
      <c r="V151" s="37">
        <f t="shared" si="31"/>
        <v>0</v>
      </c>
      <c r="W151" s="37">
        <f t="shared" si="32"/>
        <v>0</v>
      </c>
      <c r="X151" s="37">
        <f t="shared" si="33"/>
        <v>0</v>
      </c>
      <c r="Y151" s="28"/>
      <c r="Z151" s="19">
        <f t="shared" si="34"/>
        <v>0</v>
      </c>
      <c r="AA151" s="19">
        <f t="shared" si="35"/>
        <v>0</v>
      </c>
      <c r="AB151" s="19">
        <f t="shared" si="36"/>
        <v>0</v>
      </c>
      <c r="AD151" s="37">
        <v>21</v>
      </c>
      <c r="AE151" s="37">
        <f t="shared" si="37"/>
        <v>0</v>
      </c>
      <c r="AF151" s="37">
        <f t="shared" si="38"/>
        <v>0</v>
      </c>
      <c r="AG151" s="33" t="s">
        <v>13</v>
      </c>
      <c r="AM151" s="37">
        <f t="shared" si="39"/>
        <v>0</v>
      </c>
      <c r="AN151" s="37">
        <f t="shared" si="40"/>
        <v>0</v>
      </c>
      <c r="AO151" s="38" t="s">
        <v>1209</v>
      </c>
      <c r="AP151" s="38" t="s">
        <v>1229</v>
      </c>
      <c r="AQ151" s="28" t="s">
        <v>1234</v>
      </c>
      <c r="AS151" s="37">
        <f t="shared" si="41"/>
        <v>0</v>
      </c>
      <c r="AT151" s="37">
        <f t="shared" si="42"/>
        <v>0</v>
      </c>
      <c r="AU151" s="37">
        <v>0</v>
      </c>
      <c r="AV151" s="37">
        <f t="shared" si="43"/>
        <v>0</v>
      </c>
    </row>
    <row r="152" spans="1:48" ht="12.75">
      <c r="A152" s="5" t="s">
        <v>99</v>
      </c>
      <c r="B152" s="5"/>
      <c r="C152" s="5" t="s">
        <v>477</v>
      </c>
      <c r="D152" s="5" t="s">
        <v>875</v>
      </c>
      <c r="E152" s="5" t="s">
        <v>1153</v>
      </c>
      <c r="F152" s="19">
        <v>2</v>
      </c>
      <c r="G152" s="19">
        <v>0</v>
      </c>
      <c r="H152" s="19">
        <f t="shared" si="22"/>
        <v>0</v>
      </c>
      <c r="I152" s="19">
        <f t="shared" si="23"/>
        <v>0</v>
      </c>
      <c r="J152" s="19">
        <f t="shared" si="24"/>
        <v>0</v>
      </c>
      <c r="K152" s="19">
        <v>0</v>
      </c>
      <c r="L152" s="19">
        <f t="shared" si="25"/>
        <v>0</v>
      </c>
      <c r="M152" s="33" t="s">
        <v>1177</v>
      </c>
      <c r="P152" s="37">
        <f t="shared" si="26"/>
        <v>0</v>
      </c>
      <c r="R152" s="37">
        <f t="shared" si="27"/>
        <v>0</v>
      </c>
      <c r="S152" s="37">
        <f t="shared" si="28"/>
        <v>0</v>
      </c>
      <c r="T152" s="37">
        <f t="shared" si="29"/>
        <v>0</v>
      </c>
      <c r="U152" s="37">
        <f t="shared" si="30"/>
        <v>0</v>
      </c>
      <c r="V152" s="37">
        <f t="shared" si="31"/>
        <v>0</v>
      </c>
      <c r="W152" s="37">
        <f t="shared" si="32"/>
        <v>0</v>
      </c>
      <c r="X152" s="37">
        <f t="shared" si="33"/>
        <v>0</v>
      </c>
      <c r="Y152" s="28"/>
      <c r="Z152" s="19">
        <f t="shared" si="34"/>
        <v>0</v>
      </c>
      <c r="AA152" s="19">
        <f t="shared" si="35"/>
        <v>0</v>
      </c>
      <c r="AB152" s="19">
        <f t="shared" si="36"/>
        <v>0</v>
      </c>
      <c r="AD152" s="37">
        <v>21</v>
      </c>
      <c r="AE152" s="37">
        <f t="shared" si="37"/>
        <v>0</v>
      </c>
      <c r="AF152" s="37">
        <f t="shared" si="38"/>
        <v>0</v>
      </c>
      <c r="AG152" s="33" t="s">
        <v>13</v>
      </c>
      <c r="AM152" s="37">
        <f t="shared" si="39"/>
        <v>0</v>
      </c>
      <c r="AN152" s="37">
        <f t="shared" si="40"/>
        <v>0</v>
      </c>
      <c r="AO152" s="38" t="s">
        <v>1209</v>
      </c>
      <c r="AP152" s="38" t="s">
        <v>1229</v>
      </c>
      <c r="AQ152" s="28" t="s">
        <v>1234</v>
      </c>
      <c r="AS152" s="37">
        <f t="shared" si="41"/>
        <v>0</v>
      </c>
      <c r="AT152" s="37">
        <f t="shared" si="42"/>
        <v>0</v>
      </c>
      <c r="AU152" s="37">
        <v>0</v>
      </c>
      <c r="AV152" s="37">
        <f t="shared" si="43"/>
        <v>0</v>
      </c>
    </row>
    <row r="153" spans="1:48" ht="12.75">
      <c r="A153" s="5" t="s">
        <v>100</v>
      </c>
      <c r="B153" s="5"/>
      <c r="C153" s="5" t="s">
        <v>478</v>
      </c>
      <c r="D153" s="5" t="s">
        <v>876</v>
      </c>
      <c r="E153" s="5" t="s">
        <v>1153</v>
      </c>
      <c r="F153" s="19">
        <v>2</v>
      </c>
      <c r="G153" s="19">
        <v>0</v>
      </c>
      <c r="H153" s="19">
        <f t="shared" si="22"/>
        <v>0</v>
      </c>
      <c r="I153" s="19">
        <f t="shared" si="23"/>
        <v>0</v>
      </c>
      <c r="J153" s="19">
        <f t="shared" si="24"/>
        <v>0</v>
      </c>
      <c r="K153" s="19">
        <v>0</v>
      </c>
      <c r="L153" s="19">
        <f t="shared" si="25"/>
        <v>0</v>
      </c>
      <c r="M153" s="33" t="s">
        <v>1177</v>
      </c>
      <c r="P153" s="37">
        <f t="shared" si="26"/>
        <v>0</v>
      </c>
      <c r="R153" s="37">
        <f t="shared" si="27"/>
        <v>0</v>
      </c>
      <c r="S153" s="37">
        <f t="shared" si="28"/>
        <v>0</v>
      </c>
      <c r="T153" s="37">
        <f t="shared" si="29"/>
        <v>0</v>
      </c>
      <c r="U153" s="37">
        <f t="shared" si="30"/>
        <v>0</v>
      </c>
      <c r="V153" s="37">
        <f t="shared" si="31"/>
        <v>0</v>
      </c>
      <c r="W153" s="37">
        <f t="shared" si="32"/>
        <v>0</v>
      </c>
      <c r="X153" s="37">
        <f t="shared" si="33"/>
        <v>0</v>
      </c>
      <c r="Y153" s="28"/>
      <c r="Z153" s="19">
        <f t="shared" si="34"/>
        <v>0</v>
      </c>
      <c r="AA153" s="19">
        <f t="shared" si="35"/>
        <v>0</v>
      </c>
      <c r="AB153" s="19">
        <f t="shared" si="36"/>
        <v>0</v>
      </c>
      <c r="AD153" s="37">
        <v>21</v>
      </c>
      <c r="AE153" s="37">
        <f t="shared" si="37"/>
        <v>0</v>
      </c>
      <c r="AF153" s="37">
        <f t="shared" si="38"/>
        <v>0</v>
      </c>
      <c r="AG153" s="33" t="s">
        <v>13</v>
      </c>
      <c r="AM153" s="37">
        <f t="shared" si="39"/>
        <v>0</v>
      </c>
      <c r="AN153" s="37">
        <f t="shared" si="40"/>
        <v>0</v>
      </c>
      <c r="AO153" s="38" t="s">
        <v>1209</v>
      </c>
      <c r="AP153" s="38" t="s">
        <v>1229</v>
      </c>
      <c r="AQ153" s="28" t="s">
        <v>1234</v>
      </c>
      <c r="AS153" s="37">
        <f t="shared" si="41"/>
        <v>0</v>
      </c>
      <c r="AT153" s="37">
        <f t="shared" si="42"/>
        <v>0</v>
      </c>
      <c r="AU153" s="37">
        <v>0</v>
      </c>
      <c r="AV153" s="37">
        <f t="shared" si="43"/>
        <v>0</v>
      </c>
    </row>
    <row r="154" spans="1:48" ht="12.75">
      <c r="A154" s="5" t="s">
        <v>101</v>
      </c>
      <c r="B154" s="5"/>
      <c r="C154" s="5" t="s">
        <v>479</v>
      </c>
      <c r="D154" s="5" t="s">
        <v>877</v>
      </c>
      <c r="E154" s="5" t="s">
        <v>1153</v>
      </c>
      <c r="F154" s="19">
        <v>2</v>
      </c>
      <c r="G154" s="19">
        <v>0</v>
      </c>
      <c r="H154" s="19">
        <f t="shared" si="22"/>
        <v>0</v>
      </c>
      <c r="I154" s="19">
        <f t="shared" si="23"/>
        <v>0</v>
      </c>
      <c r="J154" s="19">
        <f t="shared" si="24"/>
        <v>0</v>
      </c>
      <c r="K154" s="19">
        <v>0</v>
      </c>
      <c r="L154" s="19">
        <f t="shared" si="25"/>
        <v>0</v>
      </c>
      <c r="M154" s="33" t="s">
        <v>1177</v>
      </c>
      <c r="P154" s="37">
        <f t="shared" si="26"/>
        <v>0</v>
      </c>
      <c r="R154" s="37">
        <f t="shared" si="27"/>
        <v>0</v>
      </c>
      <c r="S154" s="37">
        <f t="shared" si="28"/>
        <v>0</v>
      </c>
      <c r="T154" s="37">
        <f t="shared" si="29"/>
        <v>0</v>
      </c>
      <c r="U154" s="37">
        <f t="shared" si="30"/>
        <v>0</v>
      </c>
      <c r="V154" s="37">
        <f t="shared" si="31"/>
        <v>0</v>
      </c>
      <c r="W154" s="37">
        <f t="shared" si="32"/>
        <v>0</v>
      </c>
      <c r="X154" s="37">
        <f t="shared" si="33"/>
        <v>0</v>
      </c>
      <c r="Y154" s="28"/>
      <c r="Z154" s="19">
        <f t="shared" si="34"/>
        <v>0</v>
      </c>
      <c r="AA154" s="19">
        <f t="shared" si="35"/>
        <v>0</v>
      </c>
      <c r="AB154" s="19">
        <f t="shared" si="36"/>
        <v>0</v>
      </c>
      <c r="AD154" s="37">
        <v>21</v>
      </c>
      <c r="AE154" s="37">
        <f t="shared" si="37"/>
        <v>0</v>
      </c>
      <c r="AF154" s="37">
        <f t="shared" si="38"/>
        <v>0</v>
      </c>
      <c r="AG154" s="33" t="s">
        <v>13</v>
      </c>
      <c r="AM154" s="37">
        <f t="shared" si="39"/>
        <v>0</v>
      </c>
      <c r="AN154" s="37">
        <f t="shared" si="40"/>
        <v>0</v>
      </c>
      <c r="AO154" s="38" t="s">
        <v>1209</v>
      </c>
      <c r="AP154" s="38" t="s">
        <v>1229</v>
      </c>
      <c r="AQ154" s="28" t="s">
        <v>1234</v>
      </c>
      <c r="AS154" s="37">
        <f t="shared" si="41"/>
        <v>0</v>
      </c>
      <c r="AT154" s="37">
        <f t="shared" si="42"/>
        <v>0</v>
      </c>
      <c r="AU154" s="37">
        <v>0</v>
      </c>
      <c r="AV154" s="37">
        <f t="shared" si="43"/>
        <v>0</v>
      </c>
    </row>
    <row r="155" spans="1:48" ht="12.75">
      <c r="A155" s="5" t="s">
        <v>102</v>
      </c>
      <c r="B155" s="5"/>
      <c r="C155" s="5" t="s">
        <v>480</v>
      </c>
      <c r="D155" s="5" t="s">
        <v>878</v>
      </c>
      <c r="E155" s="5" t="s">
        <v>1153</v>
      </c>
      <c r="F155" s="19">
        <v>1</v>
      </c>
      <c r="G155" s="19">
        <v>0</v>
      </c>
      <c r="H155" s="19">
        <f t="shared" si="22"/>
        <v>0</v>
      </c>
      <c r="I155" s="19">
        <f t="shared" si="23"/>
        <v>0</v>
      </c>
      <c r="J155" s="19">
        <f t="shared" si="24"/>
        <v>0</v>
      </c>
      <c r="K155" s="19">
        <v>0</v>
      </c>
      <c r="L155" s="19">
        <f t="shared" si="25"/>
        <v>0</v>
      </c>
      <c r="M155" s="33" t="s">
        <v>1177</v>
      </c>
      <c r="P155" s="37">
        <f t="shared" si="26"/>
        <v>0</v>
      </c>
      <c r="R155" s="37">
        <f t="shared" si="27"/>
        <v>0</v>
      </c>
      <c r="S155" s="37">
        <f t="shared" si="28"/>
        <v>0</v>
      </c>
      <c r="T155" s="37">
        <f t="shared" si="29"/>
        <v>0</v>
      </c>
      <c r="U155" s="37">
        <f t="shared" si="30"/>
        <v>0</v>
      </c>
      <c r="V155" s="37">
        <f t="shared" si="31"/>
        <v>0</v>
      </c>
      <c r="W155" s="37">
        <f t="shared" si="32"/>
        <v>0</v>
      </c>
      <c r="X155" s="37">
        <f t="shared" si="33"/>
        <v>0</v>
      </c>
      <c r="Y155" s="28"/>
      <c r="Z155" s="19">
        <f t="shared" si="34"/>
        <v>0</v>
      </c>
      <c r="AA155" s="19">
        <f t="shared" si="35"/>
        <v>0</v>
      </c>
      <c r="AB155" s="19">
        <f t="shared" si="36"/>
        <v>0</v>
      </c>
      <c r="AD155" s="37">
        <v>21</v>
      </c>
      <c r="AE155" s="37">
        <f t="shared" si="37"/>
        <v>0</v>
      </c>
      <c r="AF155" s="37">
        <f t="shared" si="38"/>
        <v>0</v>
      </c>
      <c r="AG155" s="33" t="s">
        <v>13</v>
      </c>
      <c r="AM155" s="37">
        <f t="shared" si="39"/>
        <v>0</v>
      </c>
      <c r="AN155" s="37">
        <f t="shared" si="40"/>
        <v>0</v>
      </c>
      <c r="AO155" s="38" t="s">
        <v>1209</v>
      </c>
      <c r="AP155" s="38" t="s">
        <v>1229</v>
      </c>
      <c r="AQ155" s="28" t="s">
        <v>1234</v>
      </c>
      <c r="AS155" s="37">
        <f t="shared" si="41"/>
        <v>0</v>
      </c>
      <c r="AT155" s="37">
        <f t="shared" si="42"/>
        <v>0</v>
      </c>
      <c r="AU155" s="37">
        <v>0</v>
      </c>
      <c r="AV155" s="37">
        <f t="shared" si="43"/>
        <v>0</v>
      </c>
    </row>
    <row r="156" spans="1:48" ht="12.75">
      <c r="A156" s="5" t="s">
        <v>103</v>
      </c>
      <c r="B156" s="5"/>
      <c r="C156" s="5" t="s">
        <v>481</v>
      </c>
      <c r="D156" s="5" t="s">
        <v>879</v>
      </c>
      <c r="E156" s="5" t="s">
        <v>1153</v>
      </c>
      <c r="F156" s="19">
        <v>3</v>
      </c>
      <c r="G156" s="19">
        <v>0</v>
      </c>
      <c r="H156" s="19">
        <f t="shared" si="22"/>
        <v>0</v>
      </c>
      <c r="I156" s="19">
        <f t="shared" si="23"/>
        <v>0</v>
      </c>
      <c r="J156" s="19">
        <f t="shared" si="24"/>
        <v>0</v>
      </c>
      <c r="K156" s="19">
        <v>0</v>
      </c>
      <c r="L156" s="19">
        <f t="shared" si="25"/>
        <v>0</v>
      </c>
      <c r="M156" s="33" t="s">
        <v>1177</v>
      </c>
      <c r="P156" s="37">
        <f t="shared" si="26"/>
        <v>0</v>
      </c>
      <c r="R156" s="37">
        <f t="shared" si="27"/>
        <v>0</v>
      </c>
      <c r="S156" s="37">
        <f t="shared" si="28"/>
        <v>0</v>
      </c>
      <c r="T156" s="37">
        <f t="shared" si="29"/>
        <v>0</v>
      </c>
      <c r="U156" s="37">
        <f t="shared" si="30"/>
        <v>0</v>
      </c>
      <c r="V156" s="37">
        <f t="shared" si="31"/>
        <v>0</v>
      </c>
      <c r="W156" s="37">
        <f t="shared" si="32"/>
        <v>0</v>
      </c>
      <c r="X156" s="37">
        <f t="shared" si="33"/>
        <v>0</v>
      </c>
      <c r="Y156" s="28"/>
      <c r="Z156" s="19">
        <f t="shared" si="34"/>
        <v>0</v>
      </c>
      <c r="AA156" s="19">
        <f t="shared" si="35"/>
        <v>0</v>
      </c>
      <c r="AB156" s="19">
        <f t="shared" si="36"/>
        <v>0</v>
      </c>
      <c r="AD156" s="37">
        <v>21</v>
      </c>
      <c r="AE156" s="37">
        <f t="shared" si="37"/>
        <v>0</v>
      </c>
      <c r="AF156" s="37">
        <f t="shared" si="38"/>
        <v>0</v>
      </c>
      <c r="AG156" s="33" t="s">
        <v>13</v>
      </c>
      <c r="AM156" s="37">
        <f t="shared" si="39"/>
        <v>0</v>
      </c>
      <c r="AN156" s="37">
        <f t="shared" si="40"/>
        <v>0</v>
      </c>
      <c r="AO156" s="38" t="s">
        <v>1209</v>
      </c>
      <c r="AP156" s="38" t="s">
        <v>1229</v>
      </c>
      <c r="AQ156" s="28" t="s">
        <v>1234</v>
      </c>
      <c r="AS156" s="37">
        <f t="shared" si="41"/>
        <v>0</v>
      </c>
      <c r="AT156" s="37">
        <f t="shared" si="42"/>
        <v>0</v>
      </c>
      <c r="AU156" s="37">
        <v>0</v>
      </c>
      <c r="AV156" s="37">
        <f t="shared" si="43"/>
        <v>0</v>
      </c>
    </row>
    <row r="157" spans="1:48" ht="12.75">
      <c r="A157" s="5" t="s">
        <v>104</v>
      </c>
      <c r="B157" s="5"/>
      <c r="C157" s="5" t="s">
        <v>482</v>
      </c>
      <c r="D157" s="5" t="s">
        <v>880</v>
      </c>
      <c r="E157" s="5" t="s">
        <v>1153</v>
      </c>
      <c r="F157" s="19">
        <v>1</v>
      </c>
      <c r="G157" s="19">
        <v>0</v>
      </c>
      <c r="H157" s="19">
        <f t="shared" si="22"/>
        <v>0</v>
      </c>
      <c r="I157" s="19">
        <f t="shared" si="23"/>
        <v>0</v>
      </c>
      <c r="J157" s="19">
        <f t="shared" si="24"/>
        <v>0</v>
      </c>
      <c r="K157" s="19">
        <v>0</v>
      </c>
      <c r="L157" s="19">
        <f t="shared" si="25"/>
        <v>0</v>
      </c>
      <c r="M157" s="33" t="s">
        <v>1177</v>
      </c>
      <c r="P157" s="37">
        <f t="shared" si="26"/>
        <v>0</v>
      </c>
      <c r="R157" s="37">
        <f t="shared" si="27"/>
        <v>0</v>
      </c>
      <c r="S157" s="37">
        <f t="shared" si="28"/>
        <v>0</v>
      </c>
      <c r="T157" s="37">
        <f t="shared" si="29"/>
        <v>0</v>
      </c>
      <c r="U157" s="37">
        <f t="shared" si="30"/>
        <v>0</v>
      </c>
      <c r="V157" s="37">
        <f t="shared" si="31"/>
        <v>0</v>
      </c>
      <c r="W157" s="37">
        <f t="shared" si="32"/>
        <v>0</v>
      </c>
      <c r="X157" s="37">
        <f t="shared" si="33"/>
        <v>0</v>
      </c>
      <c r="Y157" s="28"/>
      <c r="Z157" s="19">
        <f t="shared" si="34"/>
        <v>0</v>
      </c>
      <c r="AA157" s="19">
        <f t="shared" si="35"/>
        <v>0</v>
      </c>
      <c r="AB157" s="19">
        <f t="shared" si="36"/>
        <v>0</v>
      </c>
      <c r="AD157" s="37">
        <v>21</v>
      </c>
      <c r="AE157" s="37">
        <f t="shared" si="37"/>
        <v>0</v>
      </c>
      <c r="AF157" s="37">
        <f t="shared" si="38"/>
        <v>0</v>
      </c>
      <c r="AG157" s="33" t="s">
        <v>13</v>
      </c>
      <c r="AM157" s="37">
        <f t="shared" si="39"/>
        <v>0</v>
      </c>
      <c r="AN157" s="37">
        <f t="shared" si="40"/>
        <v>0</v>
      </c>
      <c r="AO157" s="38" t="s">
        <v>1209</v>
      </c>
      <c r="AP157" s="38" t="s">
        <v>1229</v>
      </c>
      <c r="AQ157" s="28" t="s">
        <v>1234</v>
      </c>
      <c r="AS157" s="37">
        <f t="shared" si="41"/>
        <v>0</v>
      </c>
      <c r="AT157" s="37">
        <f t="shared" si="42"/>
        <v>0</v>
      </c>
      <c r="AU157" s="37">
        <v>0</v>
      </c>
      <c r="AV157" s="37">
        <f t="shared" si="43"/>
        <v>0</v>
      </c>
    </row>
    <row r="158" spans="1:48" ht="12.75">
      <c r="A158" s="5" t="s">
        <v>105</v>
      </c>
      <c r="B158" s="5"/>
      <c r="C158" s="5" t="s">
        <v>483</v>
      </c>
      <c r="D158" s="5" t="s">
        <v>881</v>
      </c>
      <c r="E158" s="5" t="s">
        <v>1153</v>
      </c>
      <c r="F158" s="19">
        <v>1</v>
      </c>
      <c r="G158" s="19">
        <v>0</v>
      </c>
      <c r="H158" s="19">
        <f t="shared" si="22"/>
        <v>0</v>
      </c>
      <c r="I158" s="19">
        <f t="shared" si="23"/>
        <v>0</v>
      </c>
      <c r="J158" s="19">
        <f t="shared" si="24"/>
        <v>0</v>
      </c>
      <c r="K158" s="19">
        <v>0</v>
      </c>
      <c r="L158" s="19">
        <f t="shared" si="25"/>
        <v>0</v>
      </c>
      <c r="M158" s="33" t="s">
        <v>1177</v>
      </c>
      <c r="P158" s="37">
        <f t="shared" si="26"/>
        <v>0</v>
      </c>
      <c r="R158" s="37">
        <f t="shared" si="27"/>
        <v>0</v>
      </c>
      <c r="S158" s="37">
        <f t="shared" si="28"/>
        <v>0</v>
      </c>
      <c r="T158" s="37">
        <f t="shared" si="29"/>
        <v>0</v>
      </c>
      <c r="U158" s="37">
        <f t="shared" si="30"/>
        <v>0</v>
      </c>
      <c r="V158" s="37">
        <f t="shared" si="31"/>
        <v>0</v>
      </c>
      <c r="W158" s="37">
        <f t="shared" si="32"/>
        <v>0</v>
      </c>
      <c r="X158" s="37">
        <f t="shared" si="33"/>
        <v>0</v>
      </c>
      <c r="Y158" s="28"/>
      <c r="Z158" s="19">
        <f t="shared" si="34"/>
        <v>0</v>
      </c>
      <c r="AA158" s="19">
        <f t="shared" si="35"/>
        <v>0</v>
      </c>
      <c r="AB158" s="19">
        <f t="shared" si="36"/>
        <v>0</v>
      </c>
      <c r="AD158" s="37">
        <v>21</v>
      </c>
      <c r="AE158" s="37">
        <f t="shared" si="37"/>
        <v>0</v>
      </c>
      <c r="AF158" s="37">
        <f t="shared" si="38"/>
        <v>0</v>
      </c>
      <c r="AG158" s="33" t="s">
        <v>13</v>
      </c>
      <c r="AM158" s="37">
        <f t="shared" si="39"/>
        <v>0</v>
      </c>
      <c r="AN158" s="37">
        <f t="shared" si="40"/>
        <v>0</v>
      </c>
      <c r="AO158" s="38" t="s">
        <v>1209</v>
      </c>
      <c r="AP158" s="38" t="s">
        <v>1229</v>
      </c>
      <c r="AQ158" s="28" t="s">
        <v>1234</v>
      </c>
      <c r="AS158" s="37">
        <f t="shared" si="41"/>
        <v>0</v>
      </c>
      <c r="AT158" s="37">
        <f t="shared" si="42"/>
        <v>0</v>
      </c>
      <c r="AU158" s="37">
        <v>0</v>
      </c>
      <c r="AV158" s="37">
        <f t="shared" si="43"/>
        <v>0</v>
      </c>
    </row>
    <row r="159" spans="1:48" ht="12.75">
      <c r="A159" s="5" t="s">
        <v>106</v>
      </c>
      <c r="B159" s="5"/>
      <c r="C159" s="5" t="s">
        <v>484</v>
      </c>
      <c r="D159" s="5" t="s">
        <v>882</v>
      </c>
      <c r="E159" s="5" t="s">
        <v>1153</v>
      </c>
      <c r="F159" s="19">
        <v>1</v>
      </c>
      <c r="G159" s="19">
        <v>0</v>
      </c>
      <c r="H159" s="19">
        <f t="shared" si="22"/>
        <v>0</v>
      </c>
      <c r="I159" s="19">
        <f t="shared" si="23"/>
        <v>0</v>
      </c>
      <c r="J159" s="19">
        <f t="shared" si="24"/>
        <v>0</v>
      </c>
      <c r="K159" s="19">
        <v>0</v>
      </c>
      <c r="L159" s="19">
        <f t="shared" si="25"/>
        <v>0</v>
      </c>
      <c r="M159" s="33" t="s">
        <v>1177</v>
      </c>
      <c r="P159" s="37">
        <f t="shared" si="26"/>
        <v>0</v>
      </c>
      <c r="R159" s="37">
        <f t="shared" si="27"/>
        <v>0</v>
      </c>
      <c r="S159" s="37">
        <f t="shared" si="28"/>
        <v>0</v>
      </c>
      <c r="T159" s="37">
        <f t="shared" si="29"/>
        <v>0</v>
      </c>
      <c r="U159" s="37">
        <f t="shared" si="30"/>
        <v>0</v>
      </c>
      <c r="V159" s="37">
        <f t="shared" si="31"/>
        <v>0</v>
      </c>
      <c r="W159" s="37">
        <f t="shared" si="32"/>
        <v>0</v>
      </c>
      <c r="X159" s="37">
        <f t="shared" si="33"/>
        <v>0</v>
      </c>
      <c r="Y159" s="28"/>
      <c r="Z159" s="19">
        <f t="shared" si="34"/>
        <v>0</v>
      </c>
      <c r="AA159" s="19">
        <f t="shared" si="35"/>
        <v>0</v>
      </c>
      <c r="AB159" s="19">
        <f t="shared" si="36"/>
        <v>0</v>
      </c>
      <c r="AD159" s="37">
        <v>21</v>
      </c>
      <c r="AE159" s="37">
        <f t="shared" si="37"/>
        <v>0</v>
      </c>
      <c r="AF159" s="37">
        <f t="shared" si="38"/>
        <v>0</v>
      </c>
      <c r="AG159" s="33" t="s">
        <v>13</v>
      </c>
      <c r="AM159" s="37">
        <f t="shared" si="39"/>
        <v>0</v>
      </c>
      <c r="AN159" s="37">
        <f t="shared" si="40"/>
        <v>0</v>
      </c>
      <c r="AO159" s="38" t="s">
        <v>1209</v>
      </c>
      <c r="AP159" s="38" t="s">
        <v>1229</v>
      </c>
      <c r="AQ159" s="28" t="s">
        <v>1234</v>
      </c>
      <c r="AS159" s="37">
        <f t="shared" si="41"/>
        <v>0</v>
      </c>
      <c r="AT159" s="37">
        <f t="shared" si="42"/>
        <v>0</v>
      </c>
      <c r="AU159" s="37">
        <v>0</v>
      </c>
      <c r="AV159" s="37">
        <f t="shared" si="43"/>
        <v>0</v>
      </c>
    </row>
    <row r="160" spans="1:48" ht="12.75">
      <c r="A160" s="5" t="s">
        <v>107</v>
      </c>
      <c r="B160" s="5"/>
      <c r="C160" s="5" t="s">
        <v>485</v>
      </c>
      <c r="D160" s="5" t="s">
        <v>883</v>
      </c>
      <c r="E160" s="5" t="s">
        <v>1153</v>
      </c>
      <c r="F160" s="19">
        <v>3</v>
      </c>
      <c r="G160" s="19">
        <v>0</v>
      </c>
      <c r="H160" s="19">
        <f t="shared" si="22"/>
        <v>0</v>
      </c>
      <c r="I160" s="19">
        <f t="shared" si="23"/>
        <v>0</v>
      </c>
      <c r="J160" s="19">
        <f t="shared" si="24"/>
        <v>0</v>
      </c>
      <c r="K160" s="19">
        <v>0</v>
      </c>
      <c r="L160" s="19">
        <f t="shared" si="25"/>
        <v>0</v>
      </c>
      <c r="M160" s="33" t="s">
        <v>1177</v>
      </c>
      <c r="P160" s="37">
        <f t="shared" si="26"/>
        <v>0</v>
      </c>
      <c r="R160" s="37">
        <f t="shared" si="27"/>
        <v>0</v>
      </c>
      <c r="S160" s="37">
        <f t="shared" si="28"/>
        <v>0</v>
      </c>
      <c r="T160" s="37">
        <f t="shared" si="29"/>
        <v>0</v>
      </c>
      <c r="U160" s="37">
        <f t="shared" si="30"/>
        <v>0</v>
      </c>
      <c r="V160" s="37">
        <f t="shared" si="31"/>
        <v>0</v>
      </c>
      <c r="W160" s="37">
        <f t="shared" si="32"/>
        <v>0</v>
      </c>
      <c r="X160" s="37">
        <f t="shared" si="33"/>
        <v>0</v>
      </c>
      <c r="Y160" s="28"/>
      <c r="Z160" s="19">
        <f t="shared" si="34"/>
        <v>0</v>
      </c>
      <c r="AA160" s="19">
        <f t="shared" si="35"/>
        <v>0</v>
      </c>
      <c r="AB160" s="19">
        <f t="shared" si="36"/>
        <v>0</v>
      </c>
      <c r="AD160" s="37">
        <v>21</v>
      </c>
      <c r="AE160" s="37">
        <f t="shared" si="37"/>
        <v>0</v>
      </c>
      <c r="AF160" s="37">
        <f t="shared" si="38"/>
        <v>0</v>
      </c>
      <c r="AG160" s="33" t="s">
        <v>13</v>
      </c>
      <c r="AM160" s="37">
        <f t="shared" si="39"/>
        <v>0</v>
      </c>
      <c r="AN160" s="37">
        <f t="shared" si="40"/>
        <v>0</v>
      </c>
      <c r="AO160" s="38" t="s">
        <v>1209</v>
      </c>
      <c r="AP160" s="38" t="s">
        <v>1229</v>
      </c>
      <c r="AQ160" s="28" t="s">
        <v>1234</v>
      </c>
      <c r="AS160" s="37">
        <f t="shared" si="41"/>
        <v>0</v>
      </c>
      <c r="AT160" s="37">
        <f t="shared" si="42"/>
        <v>0</v>
      </c>
      <c r="AU160" s="37">
        <v>0</v>
      </c>
      <c r="AV160" s="37">
        <f t="shared" si="43"/>
        <v>0</v>
      </c>
    </row>
    <row r="161" spans="1:48" ht="12.75">
      <c r="A161" s="5" t="s">
        <v>108</v>
      </c>
      <c r="B161" s="5"/>
      <c r="C161" s="5" t="s">
        <v>486</v>
      </c>
      <c r="D161" s="5" t="s">
        <v>884</v>
      </c>
      <c r="E161" s="5" t="s">
        <v>1153</v>
      </c>
      <c r="F161" s="19">
        <v>1</v>
      </c>
      <c r="G161" s="19">
        <v>0</v>
      </c>
      <c r="H161" s="19">
        <f t="shared" si="22"/>
        <v>0</v>
      </c>
      <c r="I161" s="19">
        <f t="shared" si="23"/>
        <v>0</v>
      </c>
      <c r="J161" s="19">
        <f t="shared" si="24"/>
        <v>0</v>
      </c>
      <c r="K161" s="19">
        <v>0</v>
      </c>
      <c r="L161" s="19">
        <f t="shared" si="25"/>
        <v>0</v>
      </c>
      <c r="M161" s="33" t="s">
        <v>1177</v>
      </c>
      <c r="P161" s="37">
        <f t="shared" si="26"/>
        <v>0</v>
      </c>
      <c r="R161" s="37">
        <f t="shared" si="27"/>
        <v>0</v>
      </c>
      <c r="S161" s="37">
        <f t="shared" si="28"/>
        <v>0</v>
      </c>
      <c r="T161" s="37">
        <f t="shared" si="29"/>
        <v>0</v>
      </c>
      <c r="U161" s="37">
        <f t="shared" si="30"/>
        <v>0</v>
      </c>
      <c r="V161" s="37">
        <f t="shared" si="31"/>
        <v>0</v>
      </c>
      <c r="W161" s="37">
        <f t="shared" si="32"/>
        <v>0</v>
      </c>
      <c r="X161" s="37">
        <f t="shared" si="33"/>
        <v>0</v>
      </c>
      <c r="Y161" s="28"/>
      <c r="Z161" s="19">
        <f t="shared" si="34"/>
        <v>0</v>
      </c>
      <c r="AA161" s="19">
        <f t="shared" si="35"/>
        <v>0</v>
      </c>
      <c r="AB161" s="19">
        <f t="shared" si="36"/>
        <v>0</v>
      </c>
      <c r="AD161" s="37">
        <v>21</v>
      </c>
      <c r="AE161" s="37">
        <f t="shared" si="37"/>
        <v>0</v>
      </c>
      <c r="AF161" s="37">
        <f t="shared" si="38"/>
        <v>0</v>
      </c>
      <c r="AG161" s="33" t="s">
        <v>13</v>
      </c>
      <c r="AM161" s="37">
        <f t="shared" si="39"/>
        <v>0</v>
      </c>
      <c r="AN161" s="37">
        <f t="shared" si="40"/>
        <v>0</v>
      </c>
      <c r="AO161" s="38" t="s">
        <v>1209</v>
      </c>
      <c r="AP161" s="38" t="s">
        <v>1229</v>
      </c>
      <c r="AQ161" s="28" t="s">
        <v>1234</v>
      </c>
      <c r="AS161" s="37">
        <f t="shared" si="41"/>
        <v>0</v>
      </c>
      <c r="AT161" s="37">
        <f t="shared" si="42"/>
        <v>0</v>
      </c>
      <c r="AU161" s="37">
        <v>0</v>
      </c>
      <c r="AV161" s="37">
        <f t="shared" si="43"/>
        <v>0</v>
      </c>
    </row>
    <row r="162" spans="1:48" ht="12.75">
      <c r="A162" s="5" t="s">
        <v>109</v>
      </c>
      <c r="B162" s="5"/>
      <c r="C162" s="5" t="s">
        <v>487</v>
      </c>
      <c r="D162" s="5" t="s">
        <v>885</v>
      </c>
      <c r="E162" s="5" t="s">
        <v>1153</v>
      </c>
      <c r="F162" s="19">
        <v>1</v>
      </c>
      <c r="G162" s="19">
        <v>0</v>
      </c>
      <c r="H162" s="19">
        <f t="shared" si="22"/>
        <v>0</v>
      </c>
      <c r="I162" s="19">
        <f t="shared" si="23"/>
        <v>0</v>
      </c>
      <c r="J162" s="19">
        <f t="shared" si="24"/>
        <v>0</v>
      </c>
      <c r="K162" s="19">
        <v>0</v>
      </c>
      <c r="L162" s="19">
        <f t="shared" si="25"/>
        <v>0</v>
      </c>
      <c r="M162" s="33" t="s">
        <v>1177</v>
      </c>
      <c r="P162" s="37">
        <f t="shared" si="26"/>
        <v>0</v>
      </c>
      <c r="R162" s="37">
        <f t="shared" si="27"/>
        <v>0</v>
      </c>
      <c r="S162" s="37">
        <f t="shared" si="28"/>
        <v>0</v>
      </c>
      <c r="T162" s="37">
        <f t="shared" si="29"/>
        <v>0</v>
      </c>
      <c r="U162" s="37">
        <f t="shared" si="30"/>
        <v>0</v>
      </c>
      <c r="V162" s="37">
        <f t="shared" si="31"/>
        <v>0</v>
      </c>
      <c r="W162" s="37">
        <f t="shared" si="32"/>
        <v>0</v>
      </c>
      <c r="X162" s="37">
        <f t="shared" si="33"/>
        <v>0</v>
      </c>
      <c r="Y162" s="28"/>
      <c r="Z162" s="19">
        <f t="shared" si="34"/>
        <v>0</v>
      </c>
      <c r="AA162" s="19">
        <f t="shared" si="35"/>
        <v>0</v>
      </c>
      <c r="AB162" s="19">
        <f t="shared" si="36"/>
        <v>0</v>
      </c>
      <c r="AD162" s="37">
        <v>21</v>
      </c>
      <c r="AE162" s="37">
        <f t="shared" si="37"/>
        <v>0</v>
      </c>
      <c r="AF162" s="37">
        <f t="shared" si="38"/>
        <v>0</v>
      </c>
      <c r="AG162" s="33" t="s">
        <v>13</v>
      </c>
      <c r="AM162" s="37">
        <f t="shared" si="39"/>
        <v>0</v>
      </c>
      <c r="AN162" s="37">
        <f t="shared" si="40"/>
        <v>0</v>
      </c>
      <c r="AO162" s="38" t="s">
        <v>1209</v>
      </c>
      <c r="AP162" s="38" t="s">
        <v>1229</v>
      </c>
      <c r="AQ162" s="28" t="s">
        <v>1234</v>
      </c>
      <c r="AS162" s="37">
        <f t="shared" si="41"/>
        <v>0</v>
      </c>
      <c r="AT162" s="37">
        <f t="shared" si="42"/>
        <v>0</v>
      </c>
      <c r="AU162" s="37">
        <v>0</v>
      </c>
      <c r="AV162" s="37">
        <f t="shared" si="43"/>
        <v>0</v>
      </c>
    </row>
    <row r="163" spans="1:48" ht="12.75">
      <c r="A163" s="5" t="s">
        <v>110</v>
      </c>
      <c r="B163" s="5"/>
      <c r="C163" s="5" t="s">
        <v>488</v>
      </c>
      <c r="D163" s="5" t="s">
        <v>886</v>
      </c>
      <c r="E163" s="5" t="s">
        <v>1153</v>
      </c>
      <c r="F163" s="19">
        <v>1</v>
      </c>
      <c r="G163" s="19">
        <v>0</v>
      </c>
      <c r="H163" s="19">
        <f t="shared" si="22"/>
        <v>0</v>
      </c>
      <c r="I163" s="19">
        <f t="shared" si="23"/>
        <v>0</v>
      </c>
      <c r="J163" s="19">
        <f t="shared" si="24"/>
        <v>0</v>
      </c>
      <c r="K163" s="19">
        <v>0</v>
      </c>
      <c r="L163" s="19">
        <f t="shared" si="25"/>
        <v>0</v>
      </c>
      <c r="M163" s="33" t="s">
        <v>1177</v>
      </c>
      <c r="P163" s="37">
        <f t="shared" si="26"/>
        <v>0</v>
      </c>
      <c r="R163" s="37">
        <f t="shared" si="27"/>
        <v>0</v>
      </c>
      <c r="S163" s="37">
        <f t="shared" si="28"/>
        <v>0</v>
      </c>
      <c r="T163" s="37">
        <f t="shared" si="29"/>
        <v>0</v>
      </c>
      <c r="U163" s="37">
        <f t="shared" si="30"/>
        <v>0</v>
      </c>
      <c r="V163" s="37">
        <f t="shared" si="31"/>
        <v>0</v>
      </c>
      <c r="W163" s="37">
        <f t="shared" si="32"/>
        <v>0</v>
      </c>
      <c r="X163" s="37">
        <f t="shared" si="33"/>
        <v>0</v>
      </c>
      <c r="Y163" s="28"/>
      <c r="Z163" s="19">
        <f t="shared" si="34"/>
        <v>0</v>
      </c>
      <c r="AA163" s="19">
        <f t="shared" si="35"/>
        <v>0</v>
      </c>
      <c r="AB163" s="19">
        <f t="shared" si="36"/>
        <v>0</v>
      </c>
      <c r="AD163" s="37">
        <v>21</v>
      </c>
      <c r="AE163" s="37">
        <f t="shared" si="37"/>
        <v>0</v>
      </c>
      <c r="AF163" s="37">
        <f t="shared" si="38"/>
        <v>0</v>
      </c>
      <c r="AG163" s="33" t="s">
        <v>13</v>
      </c>
      <c r="AM163" s="37">
        <f t="shared" si="39"/>
        <v>0</v>
      </c>
      <c r="AN163" s="37">
        <f t="shared" si="40"/>
        <v>0</v>
      </c>
      <c r="AO163" s="38" t="s">
        <v>1209</v>
      </c>
      <c r="AP163" s="38" t="s">
        <v>1229</v>
      </c>
      <c r="AQ163" s="28" t="s">
        <v>1234</v>
      </c>
      <c r="AS163" s="37">
        <f t="shared" si="41"/>
        <v>0</v>
      </c>
      <c r="AT163" s="37">
        <f t="shared" si="42"/>
        <v>0</v>
      </c>
      <c r="AU163" s="37">
        <v>0</v>
      </c>
      <c r="AV163" s="37">
        <f t="shared" si="43"/>
        <v>0</v>
      </c>
    </row>
    <row r="164" spans="1:48" ht="12.75">
      <c r="A164" s="5" t="s">
        <v>111</v>
      </c>
      <c r="B164" s="5"/>
      <c r="C164" s="5" t="s">
        <v>489</v>
      </c>
      <c r="D164" s="5" t="s">
        <v>887</v>
      </c>
      <c r="E164" s="5" t="s">
        <v>1153</v>
      </c>
      <c r="F164" s="19">
        <v>1</v>
      </c>
      <c r="G164" s="19">
        <v>0</v>
      </c>
      <c r="H164" s="19">
        <f t="shared" si="22"/>
        <v>0</v>
      </c>
      <c r="I164" s="19">
        <f t="shared" si="23"/>
        <v>0</v>
      </c>
      <c r="J164" s="19">
        <f t="shared" si="24"/>
        <v>0</v>
      </c>
      <c r="K164" s="19">
        <v>0</v>
      </c>
      <c r="L164" s="19">
        <f t="shared" si="25"/>
        <v>0</v>
      </c>
      <c r="M164" s="33" t="s">
        <v>1177</v>
      </c>
      <c r="P164" s="37">
        <f t="shared" si="26"/>
        <v>0</v>
      </c>
      <c r="R164" s="37">
        <f t="shared" si="27"/>
        <v>0</v>
      </c>
      <c r="S164" s="37">
        <f t="shared" si="28"/>
        <v>0</v>
      </c>
      <c r="T164" s="37">
        <f t="shared" si="29"/>
        <v>0</v>
      </c>
      <c r="U164" s="37">
        <f t="shared" si="30"/>
        <v>0</v>
      </c>
      <c r="V164" s="37">
        <f t="shared" si="31"/>
        <v>0</v>
      </c>
      <c r="W164" s="37">
        <f t="shared" si="32"/>
        <v>0</v>
      </c>
      <c r="X164" s="37">
        <f t="shared" si="33"/>
        <v>0</v>
      </c>
      <c r="Y164" s="28"/>
      <c r="Z164" s="19">
        <f t="shared" si="34"/>
        <v>0</v>
      </c>
      <c r="AA164" s="19">
        <f t="shared" si="35"/>
        <v>0</v>
      </c>
      <c r="AB164" s="19">
        <f t="shared" si="36"/>
        <v>0</v>
      </c>
      <c r="AD164" s="37">
        <v>21</v>
      </c>
      <c r="AE164" s="37">
        <f t="shared" si="37"/>
        <v>0</v>
      </c>
      <c r="AF164" s="37">
        <f t="shared" si="38"/>
        <v>0</v>
      </c>
      <c r="AG164" s="33" t="s">
        <v>13</v>
      </c>
      <c r="AM164" s="37">
        <f t="shared" si="39"/>
        <v>0</v>
      </c>
      <c r="AN164" s="37">
        <f t="shared" si="40"/>
        <v>0</v>
      </c>
      <c r="AO164" s="38" t="s">
        <v>1209</v>
      </c>
      <c r="AP164" s="38" t="s">
        <v>1229</v>
      </c>
      <c r="AQ164" s="28" t="s">
        <v>1234</v>
      </c>
      <c r="AS164" s="37">
        <f t="shared" si="41"/>
        <v>0</v>
      </c>
      <c r="AT164" s="37">
        <f t="shared" si="42"/>
        <v>0</v>
      </c>
      <c r="AU164" s="37">
        <v>0</v>
      </c>
      <c r="AV164" s="37">
        <f t="shared" si="43"/>
        <v>0</v>
      </c>
    </row>
    <row r="165" spans="1:48" ht="12.75">
      <c r="A165" s="5" t="s">
        <v>112</v>
      </c>
      <c r="B165" s="5"/>
      <c r="C165" s="5" t="s">
        <v>490</v>
      </c>
      <c r="D165" s="5" t="s">
        <v>888</v>
      </c>
      <c r="E165" s="5" t="s">
        <v>1153</v>
      </c>
      <c r="F165" s="19">
        <v>1</v>
      </c>
      <c r="G165" s="19">
        <v>0</v>
      </c>
      <c r="H165" s="19">
        <f t="shared" si="22"/>
        <v>0</v>
      </c>
      <c r="I165" s="19">
        <f t="shared" si="23"/>
        <v>0</v>
      </c>
      <c r="J165" s="19">
        <f t="shared" si="24"/>
        <v>0</v>
      </c>
      <c r="K165" s="19">
        <v>0</v>
      </c>
      <c r="L165" s="19">
        <f t="shared" si="25"/>
        <v>0</v>
      </c>
      <c r="M165" s="33" t="s">
        <v>1177</v>
      </c>
      <c r="P165" s="37">
        <f t="shared" si="26"/>
        <v>0</v>
      </c>
      <c r="R165" s="37">
        <f t="shared" si="27"/>
        <v>0</v>
      </c>
      <c r="S165" s="37">
        <f t="shared" si="28"/>
        <v>0</v>
      </c>
      <c r="T165" s="37">
        <f t="shared" si="29"/>
        <v>0</v>
      </c>
      <c r="U165" s="37">
        <f t="shared" si="30"/>
        <v>0</v>
      </c>
      <c r="V165" s="37">
        <f t="shared" si="31"/>
        <v>0</v>
      </c>
      <c r="W165" s="37">
        <f t="shared" si="32"/>
        <v>0</v>
      </c>
      <c r="X165" s="37">
        <f t="shared" si="33"/>
        <v>0</v>
      </c>
      <c r="Y165" s="28"/>
      <c r="Z165" s="19">
        <f t="shared" si="34"/>
        <v>0</v>
      </c>
      <c r="AA165" s="19">
        <f t="shared" si="35"/>
        <v>0</v>
      </c>
      <c r="AB165" s="19">
        <f t="shared" si="36"/>
        <v>0</v>
      </c>
      <c r="AD165" s="37">
        <v>21</v>
      </c>
      <c r="AE165" s="37">
        <f t="shared" si="37"/>
        <v>0</v>
      </c>
      <c r="AF165" s="37">
        <f t="shared" si="38"/>
        <v>0</v>
      </c>
      <c r="AG165" s="33" t="s">
        <v>13</v>
      </c>
      <c r="AM165" s="37">
        <f t="shared" si="39"/>
        <v>0</v>
      </c>
      <c r="AN165" s="37">
        <f t="shared" si="40"/>
        <v>0</v>
      </c>
      <c r="AO165" s="38" t="s">
        <v>1209</v>
      </c>
      <c r="AP165" s="38" t="s">
        <v>1229</v>
      </c>
      <c r="AQ165" s="28" t="s">
        <v>1234</v>
      </c>
      <c r="AS165" s="37">
        <f t="shared" si="41"/>
        <v>0</v>
      </c>
      <c r="AT165" s="37">
        <f t="shared" si="42"/>
        <v>0</v>
      </c>
      <c r="AU165" s="37">
        <v>0</v>
      </c>
      <c r="AV165" s="37">
        <f t="shared" si="43"/>
        <v>0</v>
      </c>
    </row>
    <row r="166" spans="1:48" ht="12.75">
      <c r="A166" s="5" t="s">
        <v>113</v>
      </c>
      <c r="B166" s="5"/>
      <c r="C166" s="5" t="s">
        <v>491</v>
      </c>
      <c r="D166" s="5" t="s">
        <v>889</v>
      </c>
      <c r="E166" s="5" t="s">
        <v>1153</v>
      </c>
      <c r="F166" s="19">
        <v>1</v>
      </c>
      <c r="G166" s="19">
        <v>0</v>
      </c>
      <c r="H166" s="19">
        <f t="shared" si="22"/>
        <v>0</v>
      </c>
      <c r="I166" s="19">
        <f t="shared" si="23"/>
        <v>0</v>
      </c>
      <c r="J166" s="19">
        <f t="shared" si="24"/>
        <v>0</v>
      </c>
      <c r="K166" s="19">
        <v>0</v>
      </c>
      <c r="L166" s="19">
        <f t="shared" si="25"/>
        <v>0</v>
      </c>
      <c r="M166" s="33" t="s">
        <v>1177</v>
      </c>
      <c r="P166" s="37">
        <f t="shared" si="26"/>
        <v>0</v>
      </c>
      <c r="R166" s="37">
        <f t="shared" si="27"/>
        <v>0</v>
      </c>
      <c r="S166" s="37">
        <f t="shared" si="28"/>
        <v>0</v>
      </c>
      <c r="T166" s="37">
        <f t="shared" si="29"/>
        <v>0</v>
      </c>
      <c r="U166" s="37">
        <f t="shared" si="30"/>
        <v>0</v>
      </c>
      <c r="V166" s="37">
        <f t="shared" si="31"/>
        <v>0</v>
      </c>
      <c r="W166" s="37">
        <f t="shared" si="32"/>
        <v>0</v>
      </c>
      <c r="X166" s="37">
        <f t="shared" si="33"/>
        <v>0</v>
      </c>
      <c r="Y166" s="28"/>
      <c r="Z166" s="19">
        <f t="shared" si="34"/>
        <v>0</v>
      </c>
      <c r="AA166" s="19">
        <f t="shared" si="35"/>
        <v>0</v>
      </c>
      <c r="AB166" s="19">
        <f t="shared" si="36"/>
        <v>0</v>
      </c>
      <c r="AD166" s="37">
        <v>21</v>
      </c>
      <c r="AE166" s="37">
        <f t="shared" si="37"/>
        <v>0</v>
      </c>
      <c r="AF166" s="37">
        <f t="shared" si="38"/>
        <v>0</v>
      </c>
      <c r="AG166" s="33" t="s">
        <v>13</v>
      </c>
      <c r="AM166" s="37">
        <f t="shared" si="39"/>
        <v>0</v>
      </c>
      <c r="AN166" s="37">
        <f t="shared" si="40"/>
        <v>0</v>
      </c>
      <c r="AO166" s="38" t="s">
        <v>1209</v>
      </c>
      <c r="AP166" s="38" t="s">
        <v>1229</v>
      </c>
      <c r="AQ166" s="28" t="s">
        <v>1234</v>
      </c>
      <c r="AS166" s="37">
        <f t="shared" si="41"/>
        <v>0</v>
      </c>
      <c r="AT166" s="37">
        <f t="shared" si="42"/>
        <v>0</v>
      </c>
      <c r="AU166" s="37">
        <v>0</v>
      </c>
      <c r="AV166" s="37">
        <f t="shared" si="43"/>
        <v>0</v>
      </c>
    </row>
    <row r="167" spans="1:48" ht="12.75">
      <c r="A167" s="5" t="s">
        <v>114</v>
      </c>
      <c r="B167" s="5"/>
      <c r="C167" s="5" t="s">
        <v>492</v>
      </c>
      <c r="D167" s="5" t="s">
        <v>890</v>
      </c>
      <c r="E167" s="5" t="s">
        <v>1153</v>
      </c>
      <c r="F167" s="19">
        <v>1</v>
      </c>
      <c r="G167" s="19">
        <v>0</v>
      </c>
      <c r="H167" s="19">
        <f t="shared" si="22"/>
        <v>0</v>
      </c>
      <c r="I167" s="19">
        <f t="shared" si="23"/>
        <v>0</v>
      </c>
      <c r="J167" s="19">
        <f t="shared" si="24"/>
        <v>0</v>
      </c>
      <c r="K167" s="19">
        <v>0</v>
      </c>
      <c r="L167" s="19">
        <f t="shared" si="25"/>
        <v>0</v>
      </c>
      <c r="M167" s="33" t="s">
        <v>1177</v>
      </c>
      <c r="P167" s="37">
        <f t="shared" si="26"/>
        <v>0</v>
      </c>
      <c r="R167" s="37">
        <f t="shared" si="27"/>
        <v>0</v>
      </c>
      <c r="S167" s="37">
        <f t="shared" si="28"/>
        <v>0</v>
      </c>
      <c r="T167" s="37">
        <f t="shared" si="29"/>
        <v>0</v>
      </c>
      <c r="U167" s="37">
        <f t="shared" si="30"/>
        <v>0</v>
      </c>
      <c r="V167" s="37">
        <f t="shared" si="31"/>
        <v>0</v>
      </c>
      <c r="W167" s="37">
        <f t="shared" si="32"/>
        <v>0</v>
      </c>
      <c r="X167" s="37">
        <f t="shared" si="33"/>
        <v>0</v>
      </c>
      <c r="Y167" s="28"/>
      <c r="Z167" s="19">
        <f t="shared" si="34"/>
        <v>0</v>
      </c>
      <c r="AA167" s="19">
        <f t="shared" si="35"/>
        <v>0</v>
      </c>
      <c r="AB167" s="19">
        <f t="shared" si="36"/>
        <v>0</v>
      </c>
      <c r="AD167" s="37">
        <v>21</v>
      </c>
      <c r="AE167" s="37">
        <f t="shared" si="37"/>
        <v>0</v>
      </c>
      <c r="AF167" s="37">
        <f t="shared" si="38"/>
        <v>0</v>
      </c>
      <c r="AG167" s="33" t="s">
        <v>13</v>
      </c>
      <c r="AM167" s="37">
        <f t="shared" si="39"/>
        <v>0</v>
      </c>
      <c r="AN167" s="37">
        <f t="shared" si="40"/>
        <v>0</v>
      </c>
      <c r="AO167" s="38" t="s">
        <v>1209</v>
      </c>
      <c r="AP167" s="38" t="s">
        <v>1229</v>
      </c>
      <c r="AQ167" s="28" t="s">
        <v>1234</v>
      </c>
      <c r="AS167" s="37">
        <f t="shared" si="41"/>
        <v>0</v>
      </c>
      <c r="AT167" s="37">
        <f t="shared" si="42"/>
        <v>0</v>
      </c>
      <c r="AU167" s="37">
        <v>0</v>
      </c>
      <c r="AV167" s="37">
        <f t="shared" si="43"/>
        <v>0</v>
      </c>
    </row>
    <row r="168" spans="1:48" ht="12.75">
      <c r="A168" s="5" t="s">
        <v>115</v>
      </c>
      <c r="B168" s="5"/>
      <c r="C168" s="5" t="s">
        <v>493</v>
      </c>
      <c r="D168" s="5" t="s">
        <v>891</v>
      </c>
      <c r="E168" s="5" t="s">
        <v>1154</v>
      </c>
      <c r="F168" s="19">
        <v>13.8</v>
      </c>
      <c r="G168" s="19">
        <v>0</v>
      </c>
      <c r="H168" s="19">
        <f t="shared" si="22"/>
        <v>0</v>
      </c>
      <c r="I168" s="19">
        <f t="shared" si="23"/>
        <v>0</v>
      </c>
      <c r="J168" s="19">
        <f t="shared" si="24"/>
        <v>0</v>
      </c>
      <c r="K168" s="19">
        <v>0</v>
      </c>
      <c r="L168" s="19">
        <f t="shared" si="25"/>
        <v>0</v>
      </c>
      <c r="M168" s="33" t="s">
        <v>1177</v>
      </c>
      <c r="P168" s="37">
        <f t="shared" si="26"/>
        <v>0</v>
      </c>
      <c r="R168" s="37">
        <f t="shared" si="27"/>
        <v>0</v>
      </c>
      <c r="S168" s="37">
        <f t="shared" si="28"/>
        <v>0</v>
      </c>
      <c r="T168" s="37">
        <f t="shared" si="29"/>
        <v>0</v>
      </c>
      <c r="U168" s="37">
        <f t="shared" si="30"/>
        <v>0</v>
      </c>
      <c r="V168" s="37">
        <f t="shared" si="31"/>
        <v>0</v>
      </c>
      <c r="W168" s="37">
        <f t="shared" si="32"/>
        <v>0</v>
      </c>
      <c r="X168" s="37">
        <f t="shared" si="33"/>
        <v>0</v>
      </c>
      <c r="Y168" s="28"/>
      <c r="Z168" s="19">
        <f t="shared" si="34"/>
        <v>0</v>
      </c>
      <c r="AA168" s="19">
        <f t="shared" si="35"/>
        <v>0</v>
      </c>
      <c r="AB168" s="19">
        <f t="shared" si="36"/>
        <v>0</v>
      </c>
      <c r="AD168" s="37">
        <v>21</v>
      </c>
      <c r="AE168" s="37">
        <f t="shared" si="37"/>
        <v>0</v>
      </c>
      <c r="AF168" s="37">
        <f t="shared" si="38"/>
        <v>0</v>
      </c>
      <c r="AG168" s="33" t="s">
        <v>13</v>
      </c>
      <c r="AM168" s="37">
        <f t="shared" si="39"/>
        <v>0</v>
      </c>
      <c r="AN168" s="37">
        <f t="shared" si="40"/>
        <v>0</v>
      </c>
      <c r="AO168" s="38" t="s">
        <v>1209</v>
      </c>
      <c r="AP168" s="38" t="s">
        <v>1229</v>
      </c>
      <c r="AQ168" s="28" t="s">
        <v>1234</v>
      </c>
      <c r="AS168" s="37">
        <f t="shared" si="41"/>
        <v>0</v>
      </c>
      <c r="AT168" s="37">
        <f t="shared" si="42"/>
        <v>0</v>
      </c>
      <c r="AU168" s="37">
        <v>0</v>
      </c>
      <c r="AV168" s="37">
        <f t="shared" si="43"/>
        <v>0</v>
      </c>
    </row>
    <row r="169" spans="1:48" ht="12.75">
      <c r="A169" s="5" t="s">
        <v>116</v>
      </c>
      <c r="B169" s="5"/>
      <c r="C169" s="5" t="s">
        <v>494</v>
      </c>
      <c r="D169" s="5" t="s">
        <v>892</v>
      </c>
      <c r="E169" s="5" t="s">
        <v>1153</v>
      </c>
      <c r="F169" s="19">
        <v>1</v>
      </c>
      <c r="G169" s="19">
        <v>0</v>
      </c>
      <c r="H169" s="19">
        <f t="shared" si="22"/>
        <v>0</v>
      </c>
      <c r="I169" s="19">
        <f t="shared" si="23"/>
        <v>0</v>
      </c>
      <c r="J169" s="19">
        <f t="shared" si="24"/>
        <v>0</v>
      </c>
      <c r="K169" s="19">
        <v>0</v>
      </c>
      <c r="L169" s="19">
        <f t="shared" si="25"/>
        <v>0</v>
      </c>
      <c r="M169" s="33" t="s">
        <v>1177</v>
      </c>
      <c r="P169" s="37">
        <f t="shared" si="26"/>
        <v>0</v>
      </c>
      <c r="R169" s="37">
        <f t="shared" si="27"/>
        <v>0</v>
      </c>
      <c r="S169" s="37">
        <f t="shared" si="28"/>
        <v>0</v>
      </c>
      <c r="T169" s="37">
        <f t="shared" si="29"/>
        <v>0</v>
      </c>
      <c r="U169" s="37">
        <f t="shared" si="30"/>
        <v>0</v>
      </c>
      <c r="V169" s="37">
        <f t="shared" si="31"/>
        <v>0</v>
      </c>
      <c r="W169" s="37">
        <f t="shared" si="32"/>
        <v>0</v>
      </c>
      <c r="X169" s="37">
        <f t="shared" si="33"/>
        <v>0</v>
      </c>
      <c r="Y169" s="28"/>
      <c r="Z169" s="19">
        <f t="shared" si="34"/>
        <v>0</v>
      </c>
      <c r="AA169" s="19">
        <f t="shared" si="35"/>
        <v>0</v>
      </c>
      <c r="AB169" s="19">
        <f t="shared" si="36"/>
        <v>0</v>
      </c>
      <c r="AD169" s="37">
        <v>21</v>
      </c>
      <c r="AE169" s="37">
        <f t="shared" si="37"/>
        <v>0</v>
      </c>
      <c r="AF169" s="37">
        <f t="shared" si="38"/>
        <v>0</v>
      </c>
      <c r="AG169" s="33" t="s">
        <v>13</v>
      </c>
      <c r="AM169" s="37">
        <f t="shared" si="39"/>
        <v>0</v>
      </c>
      <c r="AN169" s="37">
        <f t="shared" si="40"/>
        <v>0</v>
      </c>
      <c r="AO169" s="38" t="s">
        <v>1209</v>
      </c>
      <c r="AP169" s="38" t="s">
        <v>1229</v>
      </c>
      <c r="AQ169" s="28" t="s">
        <v>1234</v>
      </c>
      <c r="AS169" s="37">
        <f t="shared" si="41"/>
        <v>0</v>
      </c>
      <c r="AT169" s="37">
        <f t="shared" si="42"/>
        <v>0</v>
      </c>
      <c r="AU169" s="37">
        <v>0</v>
      </c>
      <c r="AV169" s="37">
        <f t="shared" si="43"/>
        <v>0</v>
      </c>
    </row>
    <row r="170" spans="1:48" ht="12.75">
      <c r="A170" s="5" t="s">
        <v>117</v>
      </c>
      <c r="B170" s="5"/>
      <c r="C170" s="5" t="s">
        <v>495</v>
      </c>
      <c r="D170" s="5" t="s">
        <v>893</v>
      </c>
      <c r="E170" s="5" t="s">
        <v>1153</v>
      </c>
      <c r="F170" s="19">
        <v>1</v>
      </c>
      <c r="G170" s="19">
        <v>0</v>
      </c>
      <c r="H170" s="19">
        <f t="shared" si="22"/>
        <v>0</v>
      </c>
      <c r="I170" s="19">
        <f t="shared" si="23"/>
        <v>0</v>
      </c>
      <c r="J170" s="19">
        <f t="shared" si="24"/>
        <v>0</v>
      </c>
      <c r="K170" s="19">
        <v>0</v>
      </c>
      <c r="L170" s="19">
        <f t="shared" si="25"/>
        <v>0</v>
      </c>
      <c r="M170" s="33" t="s">
        <v>1177</v>
      </c>
      <c r="P170" s="37">
        <f t="shared" si="26"/>
        <v>0</v>
      </c>
      <c r="R170" s="37">
        <f t="shared" si="27"/>
        <v>0</v>
      </c>
      <c r="S170" s="37">
        <f t="shared" si="28"/>
        <v>0</v>
      </c>
      <c r="T170" s="37">
        <f t="shared" si="29"/>
        <v>0</v>
      </c>
      <c r="U170" s="37">
        <f t="shared" si="30"/>
        <v>0</v>
      </c>
      <c r="V170" s="37">
        <f t="shared" si="31"/>
        <v>0</v>
      </c>
      <c r="W170" s="37">
        <f t="shared" si="32"/>
        <v>0</v>
      </c>
      <c r="X170" s="37">
        <f t="shared" si="33"/>
        <v>0</v>
      </c>
      <c r="Y170" s="28"/>
      <c r="Z170" s="19">
        <f t="shared" si="34"/>
        <v>0</v>
      </c>
      <c r="AA170" s="19">
        <f t="shared" si="35"/>
        <v>0</v>
      </c>
      <c r="AB170" s="19">
        <f t="shared" si="36"/>
        <v>0</v>
      </c>
      <c r="AD170" s="37">
        <v>21</v>
      </c>
      <c r="AE170" s="37">
        <f t="shared" si="37"/>
        <v>0</v>
      </c>
      <c r="AF170" s="37">
        <f t="shared" si="38"/>
        <v>0</v>
      </c>
      <c r="AG170" s="33" t="s">
        <v>13</v>
      </c>
      <c r="AM170" s="37">
        <f t="shared" si="39"/>
        <v>0</v>
      </c>
      <c r="AN170" s="37">
        <f t="shared" si="40"/>
        <v>0</v>
      </c>
      <c r="AO170" s="38" t="s">
        <v>1209</v>
      </c>
      <c r="AP170" s="38" t="s">
        <v>1229</v>
      </c>
      <c r="AQ170" s="28" t="s">
        <v>1234</v>
      </c>
      <c r="AS170" s="37">
        <f t="shared" si="41"/>
        <v>0</v>
      </c>
      <c r="AT170" s="37">
        <f t="shared" si="42"/>
        <v>0</v>
      </c>
      <c r="AU170" s="37">
        <v>0</v>
      </c>
      <c r="AV170" s="37">
        <f t="shared" si="43"/>
        <v>0</v>
      </c>
    </row>
    <row r="171" spans="1:48" ht="12.75">
      <c r="A171" s="5" t="s">
        <v>118</v>
      </c>
      <c r="B171" s="5"/>
      <c r="C171" s="5" t="s">
        <v>495</v>
      </c>
      <c r="D171" s="5" t="s">
        <v>894</v>
      </c>
      <c r="E171" s="5" t="s">
        <v>1153</v>
      </c>
      <c r="F171" s="19">
        <v>2</v>
      </c>
      <c r="G171" s="19">
        <v>0</v>
      </c>
      <c r="H171" s="19">
        <f t="shared" si="22"/>
        <v>0</v>
      </c>
      <c r="I171" s="19">
        <f t="shared" si="23"/>
        <v>0</v>
      </c>
      <c r="J171" s="19">
        <f t="shared" si="24"/>
        <v>0</v>
      </c>
      <c r="K171" s="19">
        <v>0</v>
      </c>
      <c r="L171" s="19">
        <f t="shared" si="25"/>
        <v>0</v>
      </c>
      <c r="M171" s="33" t="s">
        <v>1177</v>
      </c>
      <c r="P171" s="37">
        <f t="shared" si="26"/>
        <v>0</v>
      </c>
      <c r="R171" s="37">
        <f t="shared" si="27"/>
        <v>0</v>
      </c>
      <c r="S171" s="37">
        <f t="shared" si="28"/>
        <v>0</v>
      </c>
      <c r="T171" s="37">
        <f t="shared" si="29"/>
        <v>0</v>
      </c>
      <c r="U171" s="37">
        <f t="shared" si="30"/>
        <v>0</v>
      </c>
      <c r="V171" s="37">
        <f t="shared" si="31"/>
        <v>0</v>
      </c>
      <c r="W171" s="37">
        <f t="shared" si="32"/>
        <v>0</v>
      </c>
      <c r="X171" s="37">
        <f t="shared" si="33"/>
        <v>0</v>
      </c>
      <c r="Y171" s="28"/>
      <c r="Z171" s="19">
        <f t="shared" si="34"/>
        <v>0</v>
      </c>
      <c r="AA171" s="19">
        <f t="shared" si="35"/>
        <v>0</v>
      </c>
      <c r="AB171" s="19">
        <f t="shared" si="36"/>
        <v>0</v>
      </c>
      <c r="AD171" s="37">
        <v>21</v>
      </c>
      <c r="AE171" s="37">
        <f t="shared" si="37"/>
        <v>0</v>
      </c>
      <c r="AF171" s="37">
        <f t="shared" si="38"/>
        <v>0</v>
      </c>
      <c r="AG171" s="33" t="s">
        <v>13</v>
      </c>
      <c r="AM171" s="37">
        <f t="shared" si="39"/>
        <v>0</v>
      </c>
      <c r="AN171" s="37">
        <f t="shared" si="40"/>
        <v>0</v>
      </c>
      <c r="AO171" s="38" t="s">
        <v>1209</v>
      </c>
      <c r="AP171" s="38" t="s">
        <v>1229</v>
      </c>
      <c r="AQ171" s="28" t="s">
        <v>1234</v>
      </c>
      <c r="AS171" s="37">
        <f t="shared" si="41"/>
        <v>0</v>
      </c>
      <c r="AT171" s="37">
        <f t="shared" si="42"/>
        <v>0</v>
      </c>
      <c r="AU171" s="37">
        <v>0</v>
      </c>
      <c r="AV171" s="37">
        <f t="shared" si="43"/>
        <v>0</v>
      </c>
    </row>
    <row r="172" spans="1:48" ht="12.75">
      <c r="A172" s="5" t="s">
        <v>119</v>
      </c>
      <c r="B172" s="5"/>
      <c r="C172" s="5" t="s">
        <v>496</v>
      </c>
      <c r="D172" s="5" t="s">
        <v>895</v>
      </c>
      <c r="E172" s="5" t="s">
        <v>1155</v>
      </c>
      <c r="F172" s="19">
        <v>15</v>
      </c>
      <c r="G172" s="19">
        <v>0</v>
      </c>
      <c r="H172" s="19">
        <f t="shared" si="22"/>
        <v>0</v>
      </c>
      <c r="I172" s="19">
        <f t="shared" si="23"/>
        <v>0</v>
      </c>
      <c r="J172" s="19">
        <f t="shared" si="24"/>
        <v>0</v>
      </c>
      <c r="K172" s="19">
        <v>0</v>
      </c>
      <c r="L172" s="19">
        <f t="shared" si="25"/>
        <v>0</v>
      </c>
      <c r="M172" s="33" t="s">
        <v>1177</v>
      </c>
      <c r="P172" s="37">
        <f t="shared" si="26"/>
        <v>0</v>
      </c>
      <c r="R172" s="37">
        <f t="shared" si="27"/>
        <v>0</v>
      </c>
      <c r="S172" s="37">
        <f t="shared" si="28"/>
        <v>0</v>
      </c>
      <c r="T172" s="37">
        <f t="shared" si="29"/>
        <v>0</v>
      </c>
      <c r="U172" s="37">
        <f t="shared" si="30"/>
        <v>0</v>
      </c>
      <c r="V172" s="37">
        <f t="shared" si="31"/>
        <v>0</v>
      </c>
      <c r="W172" s="37">
        <f t="shared" si="32"/>
        <v>0</v>
      </c>
      <c r="X172" s="37">
        <f t="shared" si="33"/>
        <v>0</v>
      </c>
      <c r="Y172" s="28"/>
      <c r="Z172" s="19">
        <f t="shared" si="34"/>
        <v>0</v>
      </c>
      <c r="AA172" s="19">
        <f t="shared" si="35"/>
        <v>0</v>
      </c>
      <c r="AB172" s="19">
        <f t="shared" si="36"/>
        <v>0</v>
      </c>
      <c r="AD172" s="37">
        <v>21</v>
      </c>
      <c r="AE172" s="37">
        <f t="shared" si="37"/>
        <v>0</v>
      </c>
      <c r="AF172" s="37">
        <f t="shared" si="38"/>
        <v>0</v>
      </c>
      <c r="AG172" s="33" t="s">
        <v>13</v>
      </c>
      <c r="AM172" s="37">
        <f t="shared" si="39"/>
        <v>0</v>
      </c>
      <c r="AN172" s="37">
        <f t="shared" si="40"/>
        <v>0</v>
      </c>
      <c r="AO172" s="38" t="s">
        <v>1209</v>
      </c>
      <c r="AP172" s="38" t="s">
        <v>1229</v>
      </c>
      <c r="AQ172" s="28" t="s">
        <v>1234</v>
      </c>
      <c r="AS172" s="37">
        <f t="shared" si="41"/>
        <v>0</v>
      </c>
      <c r="AT172" s="37">
        <f t="shared" si="42"/>
        <v>0</v>
      </c>
      <c r="AU172" s="37">
        <v>0</v>
      </c>
      <c r="AV172" s="37">
        <f t="shared" si="43"/>
        <v>0</v>
      </c>
    </row>
    <row r="173" spans="1:48" ht="12.75">
      <c r="A173" s="5" t="s">
        <v>120</v>
      </c>
      <c r="B173" s="5"/>
      <c r="C173" s="5" t="s">
        <v>497</v>
      </c>
      <c r="D173" s="5" t="s">
        <v>896</v>
      </c>
      <c r="E173" s="5" t="s">
        <v>1154</v>
      </c>
      <c r="F173" s="19">
        <v>64.4</v>
      </c>
      <c r="G173" s="19">
        <v>0</v>
      </c>
      <c r="H173" s="19">
        <f t="shared" si="22"/>
        <v>0</v>
      </c>
      <c r="I173" s="19">
        <f t="shared" si="23"/>
        <v>0</v>
      </c>
      <c r="J173" s="19">
        <f t="shared" si="24"/>
        <v>0</v>
      </c>
      <c r="K173" s="19">
        <v>0</v>
      </c>
      <c r="L173" s="19">
        <f t="shared" si="25"/>
        <v>0</v>
      </c>
      <c r="M173" s="33" t="s">
        <v>1177</v>
      </c>
      <c r="P173" s="37">
        <f t="shared" si="26"/>
        <v>0</v>
      </c>
      <c r="R173" s="37">
        <f t="shared" si="27"/>
        <v>0</v>
      </c>
      <c r="S173" s="37">
        <f t="shared" si="28"/>
        <v>0</v>
      </c>
      <c r="T173" s="37">
        <f t="shared" si="29"/>
        <v>0</v>
      </c>
      <c r="U173" s="37">
        <f t="shared" si="30"/>
        <v>0</v>
      </c>
      <c r="V173" s="37">
        <f t="shared" si="31"/>
        <v>0</v>
      </c>
      <c r="W173" s="37">
        <f t="shared" si="32"/>
        <v>0</v>
      </c>
      <c r="X173" s="37">
        <f t="shared" si="33"/>
        <v>0</v>
      </c>
      <c r="Y173" s="28"/>
      <c r="Z173" s="19">
        <f t="shared" si="34"/>
        <v>0</v>
      </c>
      <c r="AA173" s="19">
        <f t="shared" si="35"/>
        <v>0</v>
      </c>
      <c r="AB173" s="19">
        <f t="shared" si="36"/>
        <v>0</v>
      </c>
      <c r="AD173" s="37">
        <v>21</v>
      </c>
      <c r="AE173" s="37">
        <f t="shared" si="37"/>
        <v>0</v>
      </c>
      <c r="AF173" s="37">
        <f t="shared" si="38"/>
        <v>0</v>
      </c>
      <c r="AG173" s="33" t="s">
        <v>13</v>
      </c>
      <c r="AM173" s="37">
        <f t="shared" si="39"/>
        <v>0</v>
      </c>
      <c r="AN173" s="37">
        <f t="shared" si="40"/>
        <v>0</v>
      </c>
      <c r="AO173" s="38" t="s">
        <v>1209</v>
      </c>
      <c r="AP173" s="38" t="s">
        <v>1229</v>
      </c>
      <c r="AQ173" s="28" t="s">
        <v>1234</v>
      </c>
      <c r="AS173" s="37">
        <f t="shared" si="41"/>
        <v>0</v>
      </c>
      <c r="AT173" s="37">
        <f t="shared" si="42"/>
        <v>0</v>
      </c>
      <c r="AU173" s="37">
        <v>0</v>
      </c>
      <c r="AV173" s="37">
        <f t="shared" si="43"/>
        <v>0</v>
      </c>
    </row>
    <row r="174" spans="1:48" ht="12.75">
      <c r="A174" s="5" t="s">
        <v>121</v>
      </c>
      <c r="B174" s="5"/>
      <c r="C174" s="5" t="s">
        <v>498</v>
      </c>
      <c r="D174" s="5" t="s">
        <v>897</v>
      </c>
      <c r="E174" s="5" t="s">
        <v>1154</v>
      </c>
      <c r="F174" s="19">
        <v>64.4</v>
      </c>
      <c r="G174" s="19">
        <v>0</v>
      </c>
      <c r="H174" s="19">
        <f t="shared" si="22"/>
        <v>0</v>
      </c>
      <c r="I174" s="19">
        <f t="shared" si="23"/>
        <v>0</v>
      </c>
      <c r="J174" s="19">
        <f t="shared" si="24"/>
        <v>0</v>
      </c>
      <c r="K174" s="19">
        <v>0</v>
      </c>
      <c r="L174" s="19">
        <f t="shared" si="25"/>
        <v>0</v>
      </c>
      <c r="M174" s="33" t="s">
        <v>1177</v>
      </c>
      <c r="P174" s="37">
        <f t="shared" si="26"/>
        <v>0</v>
      </c>
      <c r="R174" s="37">
        <f t="shared" si="27"/>
        <v>0</v>
      </c>
      <c r="S174" s="37">
        <f t="shared" si="28"/>
        <v>0</v>
      </c>
      <c r="T174" s="37">
        <f t="shared" si="29"/>
        <v>0</v>
      </c>
      <c r="U174" s="37">
        <f t="shared" si="30"/>
        <v>0</v>
      </c>
      <c r="V174" s="37">
        <f t="shared" si="31"/>
        <v>0</v>
      </c>
      <c r="W174" s="37">
        <f t="shared" si="32"/>
        <v>0</v>
      </c>
      <c r="X174" s="37">
        <f t="shared" si="33"/>
        <v>0</v>
      </c>
      <c r="Y174" s="28"/>
      <c r="Z174" s="19">
        <f t="shared" si="34"/>
        <v>0</v>
      </c>
      <c r="AA174" s="19">
        <f t="shared" si="35"/>
        <v>0</v>
      </c>
      <c r="AB174" s="19">
        <f t="shared" si="36"/>
        <v>0</v>
      </c>
      <c r="AD174" s="37">
        <v>21</v>
      </c>
      <c r="AE174" s="37">
        <f t="shared" si="37"/>
        <v>0</v>
      </c>
      <c r="AF174" s="37">
        <f t="shared" si="38"/>
        <v>0</v>
      </c>
      <c r="AG174" s="33" t="s">
        <v>13</v>
      </c>
      <c r="AM174" s="37">
        <f t="shared" si="39"/>
        <v>0</v>
      </c>
      <c r="AN174" s="37">
        <f t="shared" si="40"/>
        <v>0</v>
      </c>
      <c r="AO174" s="38" t="s">
        <v>1209</v>
      </c>
      <c r="AP174" s="38" t="s">
        <v>1229</v>
      </c>
      <c r="AQ174" s="28" t="s">
        <v>1234</v>
      </c>
      <c r="AS174" s="37">
        <f t="shared" si="41"/>
        <v>0</v>
      </c>
      <c r="AT174" s="37">
        <f t="shared" si="42"/>
        <v>0</v>
      </c>
      <c r="AU174" s="37">
        <v>0</v>
      </c>
      <c r="AV174" s="37">
        <f t="shared" si="43"/>
        <v>0</v>
      </c>
    </row>
    <row r="175" spans="1:48" ht="12.75">
      <c r="A175" s="5" t="s">
        <v>122</v>
      </c>
      <c r="B175" s="5"/>
      <c r="C175" s="5" t="s">
        <v>499</v>
      </c>
      <c r="D175" s="5" t="s">
        <v>898</v>
      </c>
      <c r="E175" s="5" t="s">
        <v>1154</v>
      </c>
      <c r="F175" s="19">
        <v>64.4</v>
      </c>
      <c r="G175" s="19">
        <v>0</v>
      </c>
      <c r="H175" s="19">
        <f t="shared" si="22"/>
        <v>0</v>
      </c>
      <c r="I175" s="19">
        <f t="shared" si="23"/>
        <v>0</v>
      </c>
      <c r="J175" s="19">
        <f t="shared" si="24"/>
        <v>0</v>
      </c>
      <c r="K175" s="19">
        <v>0</v>
      </c>
      <c r="L175" s="19">
        <f t="shared" si="25"/>
        <v>0</v>
      </c>
      <c r="M175" s="33" t="s">
        <v>1177</v>
      </c>
      <c r="P175" s="37">
        <f t="shared" si="26"/>
        <v>0</v>
      </c>
      <c r="R175" s="37">
        <f t="shared" si="27"/>
        <v>0</v>
      </c>
      <c r="S175" s="37">
        <f t="shared" si="28"/>
        <v>0</v>
      </c>
      <c r="T175" s="37">
        <f t="shared" si="29"/>
        <v>0</v>
      </c>
      <c r="U175" s="37">
        <f t="shared" si="30"/>
        <v>0</v>
      </c>
      <c r="V175" s="37">
        <f t="shared" si="31"/>
        <v>0</v>
      </c>
      <c r="W175" s="37">
        <f t="shared" si="32"/>
        <v>0</v>
      </c>
      <c r="X175" s="37">
        <f t="shared" si="33"/>
        <v>0</v>
      </c>
      <c r="Y175" s="28"/>
      <c r="Z175" s="19">
        <f t="shared" si="34"/>
        <v>0</v>
      </c>
      <c r="AA175" s="19">
        <f t="shared" si="35"/>
        <v>0</v>
      </c>
      <c r="AB175" s="19">
        <f t="shared" si="36"/>
        <v>0</v>
      </c>
      <c r="AD175" s="37">
        <v>21</v>
      </c>
      <c r="AE175" s="37">
        <f t="shared" si="37"/>
        <v>0</v>
      </c>
      <c r="AF175" s="37">
        <f t="shared" si="38"/>
        <v>0</v>
      </c>
      <c r="AG175" s="33" t="s">
        <v>13</v>
      </c>
      <c r="AM175" s="37">
        <f t="shared" si="39"/>
        <v>0</v>
      </c>
      <c r="AN175" s="37">
        <f t="shared" si="40"/>
        <v>0</v>
      </c>
      <c r="AO175" s="38" t="s">
        <v>1209</v>
      </c>
      <c r="AP175" s="38" t="s">
        <v>1229</v>
      </c>
      <c r="AQ175" s="28" t="s">
        <v>1234</v>
      </c>
      <c r="AS175" s="37">
        <f t="shared" si="41"/>
        <v>0</v>
      </c>
      <c r="AT175" s="37">
        <f t="shared" si="42"/>
        <v>0</v>
      </c>
      <c r="AU175" s="37">
        <v>0</v>
      </c>
      <c r="AV175" s="37">
        <f t="shared" si="43"/>
        <v>0</v>
      </c>
    </row>
    <row r="176" spans="1:48" ht="12.75">
      <c r="A176" s="5" t="s">
        <v>123</v>
      </c>
      <c r="B176" s="5"/>
      <c r="C176" s="5" t="s">
        <v>500</v>
      </c>
      <c r="D176" s="5" t="s">
        <v>899</v>
      </c>
      <c r="E176" s="5" t="s">
        <v>1156</v>
      </c>
      <c r="F176" s="19">
        <v>1</v>
      </c>
      <c r="G176" s="19">
        <v>0</v>
      </c>
      <c r="H176" s="19">
        <f t="shared" si="22"/>
        <v>0</v>
      </c>
      <c r="I176" s="19">
        <f t="shared" si="23"/>
        <v>0</v>
      </c>
      <c r="J176" s="19">
        <f t="shared" si="24"/>
        <v>0</v>
      </c>
      <c r="K176" s="19">
        <v>0</v>
      </c>
      <c r="L176" s="19">
        <f t="shared" si="25"/>
        <v>0</v>
      </c>
      <c r="M176" s="33" t="s">
        <v>1177</v>
      </c>
      <c r="P176" s="37">
        <f t="shared" si="26"/>
        <v>0</v>
      </c>
      <c r="R176" s="37">
        <f t="shared" si="27"/>
        <v>0</v>
      </c>
      <c r="S176" s="37">
        <f t="shared" si="28"/>
        <v>0</v>
      </c>
      <c r="T176" s="37">
        <f t="shared" si="29"/>
        <v>0</v>
      </c>
      <c r="U176" s="37">
        <f t="shared" si="30"/>
        <v>0</v>
      </c>
      <c r="V176" s="37">
        <f t="shared" si="31"/>
        <v>0</v>
      </c>
      <c r="W176" s="37">
        <f t="shared" si="32"/>
        <v>0</v>
      </c>
      <c r="X176" s="37">
        <f t="shared" si="33"/>
        <v>0</v>
      </c>
      <c r="Y176" s="28"/>
      <c r="Z176" s="19">
        <f t="shared" si="34"/>
        <v>0</v>
      </c>
      <c r="AA176" s="19">
        <f t="shared" si="35"/>
        <v>0</v>
      </c>
      <c r="AB176" s="19">
        <f t="shared" si="36"/>
        <v>0</v>
      </c>
      <c r="AD176" s="37">
        <v>21</v>
      </c>
      <c r="AE176" s="37">
        <f t="shared" si="37"/>
        <v>0</v>
      </c>
      <c r="AF176" s="37">
        <f t="shared" si="38"/>
        <v>0</v>
      </c>
      <c r="AG176" s="33" t="s">
        <v>13</v>
      </c>
      <c r="AM176" s="37">
        <f t="shared" si="39"/>
        <v>0</v>
      </c>
      <c r="AN176" s="37">
        <f t="shared" si="40"/>
        <v>0</v>
      </c>
      <c r="AO176" s="38" t="s">
        <v>1209</v>
      </c>
      <c r="AP176" s="38" t="s">
        <v>1229</v>
      </c>
      <c r="AQ176" s="28" t="s">
        <v>1234</v>
      </c>
      <c r="AS176" s="37">
        <f t="shared" si="41"/>
        <v>0</v>
      </c>
      <c r="AT176" s="37">
        <f t="shared" si="42"/>
        <v>0</v>
      </c>
      <c r="AU176" s="37">
        <v>0</v>
      </c>
      <c r="AV176" s="37">
        <f t="shared" si="43"/>
        <v>0</v>
      </c>
    </row>
    <row r="177" spans="1:48" ht="12.75">
      <c r="A177" s="5" t="s">
        <v>124</v>
      </c>
      <c r="B177" s="5"/>
      <c r="C177" s="5" t="s">
        <v>501</v>
      </c>
      <c r="D177" s="5" t="s">
        <v>900</v>
      </c>
      <c r="E177" s="5" t="s">
        <v>1156</v>
      </c>
      <c r="F177" s="19">
        <v>1</v>
      </c>
      <c r="G177" s="19">
        <v>0</v>
      </c>
      <c r="H177" s="19">
        <f t="shared" si="22"/>
        <v>0</v>
      </c>
      <c r="I177" s="19">
        <f t="shared" si="23"/>
        <v>0</v>
      </c>
      <c r="J177" s="19">
        <f t="shared" si="24"/>
        <v>0</v>
      </c>
      <c r="K177" s="19">
        <v>0</v>
      </c>
      <c r="L177" s="19">
        <f t="shared" si="25"/>
        <v>0</v>
      </c>
      <c r="M177" s="33" t="s">
        <v>1177</v>
      </c>
      <c r="P177" s="37">
        <f t="shared" si="26"/>
        <v>0</v>
      </c>
      <c r="R177" s="37">
        <f t="shared" si="27"/>
        <v>0</v>
      </c>
      <c r="S177" s="37">
        <f t="shared" si="28"/>
        <v>0</v>
      </c>
      <c r="T177" s="37">
        <f t="shared" si="29"/>
        <v>0</v>
      </c>
      <c r="U177" s="37">
        <f t="shared" si="30"/>
        <v>0</v>
      </c>
      <c r="V177" s="37">
        <f t="shared" si="31"/>
        <v>0</v>
      </c>
      <c r="W177" s="37">
        <f t="shared" si="32"/>
        <v>0</v>
      </c>
      <c r="X177" s="37">
        <f t="shared" si="33"/>
        <v>0</v>
      </c>
      <c r="Y177" s="28"/>
      <c r="Z177" s="19">
        <f t="shared" si="34"/>
        <v>0</v>
      </c>
      <c r="AA177" s="19">
        <f t="shared" si="35"/>
        <v>0</v>
      </c>
      <c r="AB177" s="19">
        <f t="shared" si="36"/>
        <v>0</v>
      </c>
      <c r="AD177" s="37">
        <v>21</v>
      </c>
      <c r="AE177" s="37">
        <f t="shared" si="37"/>
        <v>0</v>
      </c>
      <c r="AF177" s="37">
        <f t="shared" si="38"/>
        <v>0</v>
      </c>
      <c r="AG177" s="33" t="s">
        <v>13</v>
      </c>
      <c r="AM177" s="37">
        <f t="shared" si="39"/>
        <v>0</v>
      </c>
      <c r="AN177" s="37">
        <f t="shared" si="40"/>
        <v>0</v>
      </c>
      <c r="AO177" s="38" t="s">
        <v>1209</v>
      </c>
      <c r="AP177" s="38" t="s">
        <v>1229</v>
      </c>
      <c r="AQ177" s="28" t="s">
        <v>1234</v>
      </c>
      <c r="AS177" s="37">
        <f t="shared" si="41"/>
        <v>0</v>
      </c>
      <c r="AT177" s="37">
        <f t="shared" si="42"/>
        <v>0</v>
      </c>
      <c r="AU177" s="37">
        <v>0</v>
      </c>
      <c r="AV177" s="37">
        <f t="shared" si="43"/>
        <v>0</v>
      </c>
    </row>
    <row r="178" spans="1:48" ht="12.75">
      <c r="A178" s="5" t="s">
        <v>125</v>
      </c>
      <c r="B178" s="5"/>
      <c r="C178" s="5" t="s">
        <v>502</v>
      </c>
      <c r="D178" s="5" t="s">
        <v>901</v>
      </c>
      <c r="E178" s="5" t="s">
        <v>1155</v>
      </c>
      <c r="F178" s="19">
        <v>25</v>
      </c>
      <c r="G178" s="19">
        <v>0</v>
      </c>
      <c r="H178" s="19">
        <f t="shared" si="22"/>
        <v>0</v>
      </c>
      <c r="I178" s="19">
        <f t="shared" si="23"/>
        <v>0</v>
      </c>
      <c r="J178" s="19">
        <f t="shared" si="24"/>
        <v>0</v>
      </c>
      <c r="K178" s="19">
        <v>0</v>
      </c>
      <c r="L178" s="19">
        <f t="shared" si="25"/>
        <v>0</v>
      </c>
      <c r="M178" s="33" t="s">
        <v>1177</v>
      </c>
      <c r="P178" s="37">
        <f t="shared" si="26"/>
        <v>0</v>
      </c>
      <c r="R178" s="37">
        <f t="shared" si="27"/>
        <v>0</v>
      </c>
      <c r="S178" s="37">
        <f t="shared" si="28"/>
        <v>0</v>
      </c>
      <c r="T178" s="37">
        <f t="shared" si="29"/>
        <v>0</v>
      </c>
      <c r="U178" s="37">
        <f t="shared" si="30"/>
        <v>0</v>
      </c>
      <c r="V178" s="37">
        <f t="shared" si="31"/>
        <v>0</v>
      </c>
      <c r="W178" s="37">
        <f t="shared" si="32"/>
        <v>0</v>
      </c>
      <c r="X178" s="37">
        <f t="shared" si="33"/>
        <v>0</v>
      </c>
      <c r="Y178" s="28"/>
      <c r="Z178" s="19">
        <f t="shared" si="34"/>
        <v>0</v>
      </c>
      <c r="AA178" s="19">
        <f t="shared" si="35"/>
        <v>0</v>
      </c>
      <c r="AB178" s="19">
        <f t="shared" si="36"/>
        <v>0</v>
      </c>
      <c r="AD178" s="37">
        <v>21</v>
      </c>
      <c r="AE178" s="37">
        <f t="shared" si="37"/>
        <v>0</v>
      </c>
      <c r="AF178" s="37">
        <f t="shared" si="38"/>
        <v>0</v>
      </c>
      <c r="AG178" s="33" t="s">
        <v>13</v>
      </c>
      <c r="AM178" s="37">
        <f t="shared" si="39"/>
        <v>0</v>
      </c>
      <c r="AN178" s="37">
        <f t="shared" si="40"/>
        <v>0</v>
      </c>
      <c r="AO178" s="38" t="s">
        <v>1209</v>
      </c>
      <c r="AP178" s="38" t="s">
        <v>1229</v>
      </c>
      <c r="AQ178" s="28" t="s">
        <v>1234</v>
      </c>
      <c r="AS178" s="37">
        <f t="shared" si="41"/>
        <v>0</v>
      </c>
      <c r="AT178" s="37">
        <f t="shared" si="42"/>
        <v>0</v>
      </c>
      <c r="AU178" s="37">
        <v>0</v>
      </c>
      <c r="AV178" s="37">
        <f t="shared" si="43"/>
        <v>0</v>
      </c>
    </row>
    <row r="179" spans="1:48" ht="12.75">
      <c r="A179" s="5" t="s">
        <v>126</v>
      </c>
      <c r="B179" s="5"/>
      <c r="C179" s="5" t="s">
        <v>503</v>
      </c>
      <c r="D179" s="5" t="s">
        <v>902</v>
      </c>
      <c r="E179" s="5" t="s">
        <v>1153</v>
      </c>
      <c r="F179" s="19">
        <v>1</v>
      </c>
      <c r="G179" s="19">
        <v>0</v>
      </c>
      <c r="H179" s="19">
        <f t="shared" si="22"/>
        <v>0</v>
      </c>
      <c r="I179" s="19">
        <f t="shared" si="23"/>
        <v>0</v>
      </c>
      <c r="J179" s="19">
        <f t="shared" si="24"/>
        <v>0</v>
      </c>
      <c r="K179" s="19">
        <v>0</v>
      </c>
      <c r="L179" s="19">
        <f t="shared" si="25"/>
        <v>0</v>
      </c>
      <c r="M179" s="33" t="s">
        <v>1177</v>
      </c>
      <c r="P179" s="37">
        <f t="shared" si="26"/>
        <v>0</v>
      </c>
      <c r="R179" s="37">
        <f t="shared" si="27"/>
        <v>0</v>
      </c>
      <c r="S179" s="37">
        <f t="shared" si="28"/>
        <v>0</v>
      </c>
      <c r="T179" s="37">
        <f t="shared" si="29"/>
        <v>0</v>
      </c>
      <c r="U179" s="37">
        <f t="shared" si="30"/>
        <v>0</v>
      </c>
      <c r="V179" s="37">
        <f t="shared" si="31"/>
        <v>0</v>
      </c>
      <c r="W179" s="37">
        <f t="shared" si="32"/>
        <v>0</v>
      </c>
      <c r="X179" s="37">
        <f t="shared" si="33"/>
        <v>0</v>
      </c>
      <c r="Y179" s="28"/>
      <c r="Z179" s="19">
        <f t="shared" si="34"/>
        <v>0</v>
      </c>
      <c r="AA179" s="19">
        <f t="shared" si="35"/>
        <v>0</v>
      </c>
      <c r="AB179" s="19">
        <f t="shared" si="36"/>
        <v>0</v>
      </c>
      <c r="AD179" s="37">
        <v>21</v>
      </c>
      <c r="AE179" s="37">
        <f t="shared" si="37"/>
        <v>0</v>
      </c>
      <c r="AF179" s="37">
        <f t="shared" si="38"/>
        <v>0</v>
      </c>
      <c r="AG179" s="33" t="s">
        <v>13</v>
      </c>
      <c r="AM179" s="37">
        <f t="shared" si="39"/>
        <v>0</v>
      </c>
      <c r="AN179" s="37">
        <f t="shared" si="40"/>
        <v>0</v>
      </c>
      <c r="AO179" s="38" t="s">
        <v>1209</v>
      </c>
      <c r="AP179" s="38" t="s">
        <v>1229</v>
      </c>
      <c r="AQ179" s="28" t="s">
        <v>1234</v>
      </c>
      <c r="AS179" s="37">
        <f t="shared" si="41"/>
        <v>0</v>
      </c>
      <c r="AT179" s="37">
        <f t="shared" si="42"/>
        <v>0</v>
      </c>
      <c r="AU179" s="37">
        <v>0</v>
      </c>
      <c r="AV179" s="37">
        <f t="shared" si="43"/>
        <v>0</v>
      </c>
    </row>
    <row r="180" spans="1:48" ht="12.75">
      <c r="A180" s="5" t="s">
        <v>127</v>
      </c>
      <c r="B180" s="5"/>
      <c r="C180" s="5" t="s">
        <v>504</v>
      </c>
      <c r="D180" s="5" t="s">
        <v>903</v>
      </c>
      <c r="E180" s="5" t="s">
        <v>1153</v>
      </c>
      <c r="F180" s="19">
        <v>1</v>
      </c>
      <c r="G180" s="19">
        <v>0</v>
      </c>
      <c r="H180" s="19">
        <f t="shared" si="22"/>
        <v>0</v>
      </c>
      <c r="I180" s="19">
        <f t="shared" si="23"/>
        <v>0</v>
      </c>
      <c r="J180" s="19">
        <f t="shared" si="24"/>
        <v>0</v>
      </c>
      <c r="K180" s="19">
        <v>0</v>
      </c>
      <c r="L180" s="19">
        <f t="shared" si="25"/>
        <v>0</v>
      </c>
      <c r="M180" s="33" t="s">
        <v>1177</v>
      </c>
      <c r="P180" s="37">
        <f t="shared" si="26"/>
        <v>0</v>
      </c>
      <c r="R180" s="37">
        <f t="shared" si="27"/>
        <v>0</v>
      </c>
      <c r="S180" s="37">
        <f t="shared" si="28"/>
        <v>0</v>
      </c>
      <c r="T180" s="37">
        <f t="shared" si="29"/>
        <v>0</v>
      </c>
      <c r="U180" s="37">
        <f t="shared" si="30"/>
        <v>0</v>
      </c>
      <c r="V180" s="37">
        <f t="shared" si="31"/>
        <v>0</v>
      </c>
      <c r="W180" s="37">
        <f t="shared" si="32"/>
        <v>0</v>
      </c>
      <c r="X180" s="37">
        <f t="shared" si="33"/>
        <v>0</v>
      </c>
      <c r="Y180" s="28"/>
      <c r="Z180" s="19">
        <f t="shared" si="34"/>
        <v>0</v>
      </c>
      <c r="AA180" s="19">
        <f t="shared" si="35"/>
        <v>0</v>
      </c>
      <c r="AB180" s="19">
        <f t="shared" si="36"/>
        <v>0</v>
      </c>
      <c r="AD180" s="37">
        <v>21</v>
      </c>
      <c r="AE180" s="37">
        <f t="shared" si="37"/>
        <v>0</v>
      </c>
      <c r="AF180" s="37">
        <f t="shared" si="38"/>
        <v>0</v>
      </c>
      <c r="AG180" s="33" t="s">
        <v>13</v>
      </c>
      <c r="AM180" s="37">
        <f t="shared" si="39"/>
        <v>0</v>
      </c>
      <c r="AN180" s="37">
        <f t="shared" si="40"/>
        <v>0</v>
      </c>
      <c r="AO180" s="38" t="s">
        <v>1209</v>
      </c>
      <c r="AP180" s="38" t="s">
        <v>1229</v>
      </c>
      <c r="AQ180" s="28" t="s">
        <v>1234</v>
      </c>
      <c r="AS180" s="37">
        <f t="shared" si="41"/>
        <v>0</v>
      </c>
      <c r="AT180" s="37">
        <f t="shared" si="42"/>
        <v>0</v>
      </c>
      <c r="AU180" s="37">
        <v>0</v>
      </c>
      <c r="AV180" s="37">
        <f t="shared" si="43"/>
        <v>0</v>
      </c>
    </row>
    <row r="181" spans="1:48" ht="12.75">
      <c r="A181" s="5" t="s">
        <v>128</v>
      </c>
      <c r="B181" s="5"/>
      <c r="C181" s="5" t="s">
        <v>505</v>
      </c>
      <c r="D181" s="5" t="s">
        <v>904</v>
      </c>
      <c r="E181" s="5" t="s">
        <v>1153</v>
      </c>
      <c r="F181" s="19">
        <v>1</v>
      </c>
      <c r="G181" s="19">
        <v>0</v>
      </c>
      <c r="H181" s="19">
        <f t="shared" si="22"/>
        <v>0</v>
      </c>
      <c r="I181" s="19">
        <f t="shared" si="23"/>
        <v>0</v>
      </c>
      <c r="J181" s="19">
        <f t="shared" si="24"/>
        <v>0</v>
      </c>
      <c r="K181" s="19">
        <v>0</v>
      </c>
      <c r="L181" s="19">
        <f t="shared" si="25"/>
        <v>0</v>
      </c>
      <c r="M181" s="33" t="s">
        <v>1177</v>
      </c>
      <c r="P181" s="37">
        <f t="shared" si="26"/>
        <v>0</v>
      </c>
      <c r="R181" s="37">
        <f t="shared" si="27"/>
        <v>0</v>
      </c>
      <c r="S181" s="37">
        <f t="shared" si="28"/>
        <v>0</v>
      </c>
      <c r="T181" s="37">
        <f t="shared" si="29"/>
        <v>0</v>
      </c>
      <c r="U181" s="37">
        <f t="shared" si="30"/>
        <v>0</v>
      </c>
      <c r="V181" s="37">
        <f t="shared" si="31"/>
        <v>0</v>
      </c>
      <c r="W181" s="37">
        <f t="shared" si="32"/>
        <v>0</v>
      </c>
      <c r="X181" s="37">
        <f t="shared" si="33"/>
        <v>0</v>
      </c>
      <c r="Y181" s="28"/>
      <c r="Z181" s="19">
        <f t="shared" si="34"/>
        <v>0</v>
      </c>
      <c r="AA181" s="19">
        <f t="shared" si="35"/>
        <v>0</v>
      </c>
      <c r="AB181" s="19">
        <f t="shared" si="36"/>
        <v>0</v>
      </c>
      <c r="AD181" s="37">
        <v>21</v>
      </c>
      <c r="AE181" s="37">
        <f t="shared" si="37"/>
        <v>0</v>
      </c>
      <c r="AF181" s="37">
        <f t="shared" si="38"/>
        <v>0</v>
      </c>
      <c r="AG181" s="33" t="s">
        <v>13</v>
      </c>
      <c r="AM181" s="37">
        <f t="shared" si="39"/>
        <v>0</v>
      </c>
      <c r="AN181" s="37">
        <f t="shared" si="40"/>
        <v>0</v>
      </c>
      <c r="AO181" s="38" t="s">
        <v>1209</v>
      </c>
      <c r="AP181" s="38" t="s">
        <v>1229</v>
      </c>
      <c r="AQ181" s="28" t="s">
        <v>1234</v>
      </c>
      <c r="AS181" s="37">
        <f t="shared" si="41"/>
        <v>0</v>
      </c>
      <c r="AT181" s="37">
        <f t="shared" si="42"/>
        <v>0</v>
      </c>
      <c r="AU181" s="37">
        <v>0</v>
      </c>
      <c r="AV181" s="37">
        <f t="shared" si="43"/>
        <v>0</v>
      </c>
    </row>
    <row r="182" spans="1:37" ht="12.75">
      <c r="A182" s="6"/>
      <c r="B182" s="14"/>
      <c r="C182" s="14" t="s">
        <v>506</v>
      </c>
      <c r="D182" s="14" t="s">
        <v>905</v>
      </c>
      <c r="E182" s="6" t="s">
        <v>6</v>
      </c>
      <c r="F182" s="6" t="s">
        <v>6</v>
      </c>
      <c r="G182" s="6" t="s">
        <v>6</v>
      </c>
      <c r="H182" s="40">
        <f>SUM(H183:H231)</f>
        <v>0</v>
      </c>
      <c r="I182" s="40">
        <f>SUM(I183:I231)</f>
        <v>0</v>
      </c>
      <c r="J182" s="40">
        <f>H182+I182</f>
        <v>0</v>
      </c>
      <c r="K182" s="28"/>
      <c r="L182" s="40">
        <f>SUM(L183:L231)</f>
        <v>0</v>
      </c>
      <c r="M182" s="28"/>
      <c r="Y182" s="28"/>
      <c r="AI182" s="40">
        <f>SUM(Z183:Z231)</f>
        <v>0</v>
      </c>
      <c r="AJ182" s="40">
        <f>SUM(AA183:AA231)</f>
        <v>0</v>
      </c>
      <c r="AK182" s="40">
        <f>SUM(AB183:AB231)</f>
        <v>0</v>
      </c>
    </row>
    <row r="183" spans="1:48" ht="12.75">
      <c r="A183" s="5" t="s">
        <v>129</v>
      </c>
      <c r="B183" s="5"/>
      <c r="C183" s="5" t="s">
        <v>464</v>
      </c>
      <c r="D183" s="5" t="s">
        <v>906</v>
      </c>
      <c r="E183" s="5" t="s">
        <v>1154</v>
      </c>
      <c r="F183" s="19">
        <v>6.1</v>
      </c>
      <c r="G183" s="19">
        <v>0</v>
      </c>
      <c r="H183" s="19">
        <f aca="true" t="shared" si="44" ref="H183:H214">F183*AE183</f>
        <v>0</v>
      </c>
      <c r="I183" s="19">
        <f aca="true" t="shared" si="45" ref="I183:I214">J183-H183</f>
        <v>0</v>
      </c>
      <c r="J183" s="19">
        <f aca="true" t="shared" si="46" ref="J183:J214">F183*G183</f>
        <v>0</v>
      </c>
      <c r="K183" s="19">
        <v>0</v>
      </c>
      <c r="L183" s="19">
        <f aca="true" t="shared" si="47" ref="L183:L214">F183*K183</f>
        <v>0</v>
      </c>
      <c r="M183" s="33" t="s">
        <v>1177</v>
      </c>
      <c r="P183" s="37">
        <f aca="true" t="shared" si="48" ref="P183:P214">IF(AG183="5",J183,0)</f>
        <v>0</v>
      </c>
      <c r="R183" s="37">
        <f aca="true" t="shared" si="49" ref="R183:R214">IF(AG183="1",H183,0)</f>
        <v>0</v>
      </c>
      <c r="S183" s="37">
        <f aca="true" t="shared" si="50" ref="S183:S214">IF(AG183="1",I183,0)</f>
        <v>0</v>
      </c>
      <c r="T183" s="37">
        <f aca="true" t="shared" si="51" ref="T183:T214">IF(AG183="7",H183,0)</f>
        <v>0</v>
      </c>
      <c r="U183" s="37">
        <f aca="true" t="shared" si="52" ref="U183:U214">IF(AG183="7",I183,0)</f>
        <v>0</v>
      </c>
      <c r="V183" s="37">
        <f aca="true" t="shared" si="53" ref="V183:V214">IF(AG183="2",H183,0)</f>
        <v>0</v>
      </c>
      <c r="W183" s="37">
        <f aca="true" t="shared" si="54" ref="W183:W214">IF(AG183="2",I183,0)</f>
        <v>0</v>
      </c>
      <c r="X183" s="37">
        <f aca="true" t="shared" si="55" ref="X183:X214">IF(AG183="0",J183,0)</f>
        <v>0</v>
      </c>
      <c r="Y183" s="28"/>
      <c r="Z183" s="19">
        <f aca="true" t="shared" si="56" ref="Z183:Z214">IF(AD183=0,J183,0)</f>
        <v>0</v>
      </c>
      <c r="AA183" s="19">
        <f aca="true" t="shared" si="57" ref="AA183:AA214">IF(AD183=15,J183,0)</f>
        <v>0</v>
      </c>
      <c r="AB183" s="19">
        <f aca="true" t="shared" si="58" ref="AB183:AB214">IF(AD183=21,J183,0)</f>
        <v>0</v>
      </c>
      <c r="AD183" s="37">
        <v>21</v>
      </c>
      <c r="AE183" s="37">
        <f aca="true" t="shared" si="59" ref="AE183:AE214">G183*0</f>
        <v>0</v>
      </c>
      <c r="AF183" s="37">
        <f aca="true" t="shared" si="60" ref="AF183:AF214">G183*(1-0)</f>
        <v>0</v>
      </c>
      <c r="AG183" s="33" t="s">
        <v>13</v>
      </c>
      <c r="AM183" s="37">
        <f aca="true" t="shared" si="61" ref="AM183:AM214">F183*AE183</f>
        <v>0</v>
      </c>
      <c r="AN183" s="37">
        <f aca="true" t="shared" si="62" ref="AN183:AN214">F183*AF183</f>
        <v>0</v>
      </c>
      <c r="AO183" s="38" t="s">
        <v>1210</v>
      </c>
      <c r="AP183" s="38" t="s">
        <v>1229</v>
      </c>
      <c r="AQ183" s="28" t="s">
        <v>1234</v>
      </c>
      <c r="AS183" s="37">
        <f aca="true" t="shared" si="63" ref="AS183:AS214">AM183+AN183</f>
        <v>0</v>
      </c>
      <c r="AT183" s="37">
        <f aca="true" t="shared" si="64" ref="AT183:AT214">G183/(100-AU183)*100</f>
        <v>0</v>
      </c>
      <c r="AU183" s="37">
        <v>0</v>
      </c>
      <c r="AV183" s="37">
        <f aca="true" t="shared" si="65" ref="AV183:AV214">L183</f>
        <v>0</v>
      </c>
    </row>
    <row r="184" spans="1:48" ht="12.75">
      <c r="A184" s="5" t="s">
        <v>130</v>
      </c>
      <c r="B184" s="5"/>
      <c r="C184" s="5" t="s">
        <v>465</v>
      </c>
      <c r="D184" s="5" t="s">
        <v>863</v>
      </c>
      <c r="E184" s="5" t="s">
        <v>1153</v>
      </c>
      <c r="F184" s="19">
        <v>1</v>
      </c>
      <c r="G184" s="19">
        <v>0</v>
      </c>
      <c r="H184" s="19">
        <f t="shared" si="44"/>
        <v>0</v>
      </c>
      <c r="I184" s="19">
        <f t="shared" si="45"/>
        <v>0</v>
      </c>
      <c r="J184" s="19">
        <f t="shared" si="46"/>
        <v>0</v>
      </c>
      <c r="K184" s="19">
        <v>0</v>
      </c>
      <c r="L184" s="19">
        <f t="shared" si="47"/>
        <v>0</v>
      </c>
      <c r="M184" s="33" t="s">
        <v>1177</v>
      </c>
      <c r="P184" s="37">
        <f t="shared" si="48"/>
        <v>0</v>
      </c>
      <c r="R184" s="37">
        <f t="shared" si="49"/>
        <v>0</v>
      </c>
      <c r="S184" s="37">
        <f t="shared" si="50"/>
        <v>0</v>
      </c>
      <c r="T184" s="37">
        <f t="shared" si="51"/>
        <v>0</v>
      </c>
      <c r="U184" s="37">
        <f t="shared" si="52"/>
        <v>0</v>
      </c>
      <c r="V184" s="37">
        <f t="shared" si="53"/>
        <v>0</v>
      </c>
      <c r="W184" s="37">
        <f t="shared" si="54"/>
        <v>0</v>
      </c>
      <c r="X184" s="37">
        <f t="shared" si="55"/>
        <v>0</v>
      </c>
      <c r="Y184" s="28"/>
      <c r="Z184" s="19">
        <f t="shared" si="56"/>
        <v>0</v>
      </c>
      <c r="AA184" s="19">
        <f t="shared" si="57"/>
        <v>0</v>
      </c>
      <c r="AB184" s="19">
        <f t="shared" si="58"/>
        <v>0</v>
      </c>
      <c r="AD184" s="37">
        <v>21</v>
      </c>
      <c r="AE184" s="37">
        <f t="shared" si="59"/>
        <v>0</v>
      </c>
      <c r="AF184" s="37">
        <f t="shared" si="60"/>
        <v>0</v>
      </c>
      <c r="AG184" s="33" t="s">
        <v>13</v>
      </c>
      <c r="AM184" s="37">
        <f t="shared" si="61"/>
        <v>0</v>
      </c>
      <c r="AN184" s="37">
        <f t="shared" si="62"/>
        <v>0</v>
      </c>
      <c r="AO184" s="38" t="s">
        <v>1210</v>
      </c>
      <c r="AP184" s="38" t="s">
        <v>1229</v>
      </c>
      <c r="AQ184" s="28" t="s">
        <v>1234</v>
      </c>
      <c r="AS184" s="37">
        <f t="shared" si="63"/>
        <v>0</v>
      </c>
      <c r="AT184" s="37">
        <f t="shared" si="64"/>
        <v>0</v>
      </c>
      <c r="AU184" s="37">
        <v>0</v>
      </c>
      <c r="AV184" s="37">
        <f t="shared" si="65"/>
        <v>0</v>
      </c>
    </row>
    <row r="185" spans="1:48" ht="12.75">
      <c r="A185" s="5" t="s">
        <v>131</v>
      </c>
      <c r="B185" s="5"/>
      <c r="C185" s="5" t="s">
        <v>466</v>
      </c>
      <c r="D185" s="5" t="s">
        <v>864</v>
      </c>
      <c r="E185" s="5" t="s">
        <v>1154</v>
      </c>
      <c r="F185" s="19">
        <v>6.1</v>
      </c>
      <c r="G185" s="19">
        <v>0</v>
      </c>
      <c r="H185" s="19">
        <f t="shared" si="44"/>
        <v>0</v>
      </c>
      <c r="I185" s="19">
        <f t="shared" si="45"/>
        <v>0</v>
      </c>
      <c r="J185" s="19">
        <f t="shared" si="46"/>
        <v>0</v>
      </c>
      <c r="K185" s="19">
        <v>0</v>
      </c>
      <c r="L185" s="19">
        <f t="shared" si="47"/>
        <v>0</v>
      </c>
      <c r="M185" s="33" t="s">
        <v>1177</v>
      </c>
      <c r="P185" s="37">
        <f t="shared" si="48"/>
        <v>0</v>
      </c>
      <c r="R185" s="37">
        <f t="shared" si="49"/>
        <v>0</v>
      </c>
      <c r="S185" s="37">
        <f t="shared" si="50"/>
        <v>0</v>
      </c>
      <c r="T185" s="37">
        <f t="shared" si="51"/>
        <v>0</v>
      </c>
      <c r="U185" s="37">
        <f t="shared" si="52"/>
        <v>0</v>
      </c>
      <c r="V185" s="37">
        <f t="shared" si="53"/>
        <v>0</v>
      </c>
      <c r="W185" s="37">
        <f t="shared" si="54"/>
        <v>0</v>
      </c>
      <c r="X185" s="37">
        <f t="shared" si="55"/>
        <v>0</v>
      </c>
      <c r="Y185" s="28"/>
      <c r="Z185" s="19">
        <f t="shared" si="56"/>
        <v>0</v>
      </c>
      <c r="AA185" s="19">
        <f t="shared" si="57"/>
        <v>0</v>
      </c>
      <c r="AB185" s="19">
        <f t="shared" si="58"/>
        <v>0</v>
      </c>
      <c r="AD185" s="37">
        <v>21</v>
      </c>
      <c r="AE185" s="37">
        <f t="shared" si="59"/>
        <v>0</v>
      </c>
      <c r="AF185" s="37">
        <f t="shared" si="60"/>
        <v>0</v>
      </c>
      <c r="AG185" s="33" t="s">
        <v>13</v>
      </c>
      <c r="AM185" s="37">
        <f t="shared" si="61"/>
        <v>0</v>
      </c>
      <c r="AN185" s="37">
        <f t="shared" si="62"/>
        <v>0</v>
      </c>
      <c r="AO185" s="38" t="s">
        <v>1210</v>
      </c>
      <c r="AP185" s="38" t="s">
        <v>1229</v>
      </c>
      <c r="AQ185" s="28" t="s">
        <v>1234</v>
      </c>
      <c r="AS185" s="37">
        <f t="shared" si="63"/>
        <v>0</v>
      </c>
      <c r="AT185" s="37">
        <f t="shared" si="64"/>
        <v>0</v>
      </c>
      <c r="AU185" s="37">
        <v>0</v>
      </c>
      <c r="AV185" s="37">
        <f t="shared" si="65"/>
        <v>0</v>
      </c>
    </row>
    <row r="186" spans="1:48" ht="12.75">
      <c r="A186" s="5" t="s">
        <v>132</v>
      </c>
      <c r="B186" s="5"/>
      <c r="C186" s="5" t="s">
        <v>467</v>
      </c>
      <c r="D186" s="5" t="s">
        <v>865</v>
      </c>
      <c r="E186" s="5" t="s">
        <v>1154</v>
      </c>
      <c r="F186" s="19">
        <v>6.1</v>
      </c>
      <c r="G186" s="19">
        <v>0</v>
      </c>
      <c r="H186" s="19">
        <f t="shared" si="44"/>
        <v>0</v>
      </c>
      <c r="I186" s="19">
        <f t="shared" si="45"/>
        <v>0</v>
      </c>
      <c r="J186" s="19">
        <f t="shared" si="46"/>
        <v>0</v>
      </c>
      <c r="K186" s="19">
        <v>0</v>
      </c>
      <c r="L186" s="19">
        <f t="shared" si="47"/>
        <v>0</v>
      </c>
      <c r="M186" s="33" t="s">
        <v>1177</v>
      </c>
      <c r="P186" s="37">
        <f t="shared" si="48"/>
        <v>0</v>
      </c>
      <c r="R186" s="37">
        <f t="shared" si="49"/>
        <v>0</v>
      </c>
      <c r="S186" s="37">
        <f t="shared" si="50"/>
        <v>0</v>
      </c>
      <c r="T186" s="37">
        <f t="shared" si="51"/>
        <v>0</v>
      </c>
      <c r="U186" s="37">
        <f t="shared" si="52"/>
        <v>0</v>
      </c>
      <c r="V186" s="37">
        <f t="shared" si="53"/>
        <v>0</v>
      </c>
      <c r="W186" s="37">
        <f t="shared" si="54"/>
        <v>0</v>
      </c>
      <c r="X186" s="37">
        <f t="shared" si="55"/>
        <v>0</v>
      </c>
      <c r="Y186" s="28"/>
      <c r="Z186" s="19">
        <f t="shared" si="56"/>
        <v>0</v>
      </c>
      <c r="AA186" s="19">
        <f t="shared" si="57"/>
        <v>0</v>
      </c>
      <c r="AB186" s="19">
        <f t="shared" si="58"/>
        <v>0</v>
      </c>
      <c r="AD186" s="37">
        <v>21</v>
      </c>
      <c r="AE186" s="37">
        <f t="shared" si="59"/>
        <v>0</v>
      </c>
      <c r="AF186" s="37">
        <f t="shared" si="60"/>
        <v>0</v>
      </c>
      <c r="AG186" s="33" t="s">
        <v>13</v>
      </c>
      <c r="AM186" s="37">
        <f t="shared" si="61"/>
        <v>0</v>
      </c>
      <c r="AN186" s="37">
        <f t="shared" si="62"/>
        <v>0</v>
      </c>
      <c r="AO186" s="38" t="s">
        <v>1210</v>
      </c>
      <c r="AP186" s="38" t="s">
        <v>1229</v>
      </c>
      <c r="AQ186" s="28" t="s">
        <v>1234</v>
      </c>
      <c r="AS186" s="37">
        <f t="shared" si="63"/>
        <v>0</v>
      </c>
      <c r="AT186" s="37">
        <f t="shared" si="64"/>
        <v>0</v>
      </c>
      <c r="AU186" s="37">
        <v>0</v>
      </c>
      <c r="AV186" s="37">
        <f t="shared" si="65"/>
        <v>0</v>
      </c>
    </row>
    <row r="187" spans="1:48" ht="12.75">
      <c r="A187" s="5" t="s">
        <v>133</v>
      </c>
      <c r="B187" s="5"/>
      <c r="C187" s="5" t="s">
        <v>468</v>
      </c>
      <c r="D187" s="5" t="s">
        <v>866</v>
      </c>
      <c r="E187" s="5" t="s">
        <v>1154</v>
      </c>
      <c r="F187" s="19">
        <v>6.1</v>
      </c>
      <c r="G187" s="19">
        <v>0</v>
      </c>
      <c r="H187" s="19">
        <f t="shared" si="44"/>
        <v>0</v>
      </c>
      <c r="I187" s="19">
        <f t="shared" si="45"/>
        <v>0</v>
      </c>
      <c r="J187" s="19">
        <f t="shared" si="46"/>
        <v>0</v>
      </c>
      <c r="K187" s="19">
        <v>0</v>
      </c>
      <c r="L187" s="19">
        <f t="shared" si="47"/>
        <v>0</v>
      </c>
      <c r="M187" s="33" t="s">
        <v>1177</v>
      </c>
      <c r="P187" s="37">
        <f t="shared" si="48"/>
        <v>0</v>
      </c>
      <c r="R187" s="37">
        <f t="shared" si="49"/>
        <v>0</v>
      </c>
      <c r="S187" s="37">
        <f t="shared" si="50"/>
        <v>0</v>
      </c>
      <c r="T187" s="37">
        <f t="shared" si="51"/>
        <v>0</v>
      </c>
      <c r="U187" s="37">
        <f t="shared" si="52"/>
        <v>0</v>
      </c>
      <c r="V187" s="37">
        <f t="shared" si="53"/>
        <v>0</v>
      </c>
      <c r="W187" s="37">
        <f t="shared" si="54"/>
        <v>0</v>
      </c>
      <c r="X187" s="37">
        <f t="shared" si="55"/>
        <v>0</v>
      </c>
      <c r="Y187" s="28"/>
      <c r="Z187" s="19">
        <f t="shared" si="56"/>
        <v>0</v>
      </c>
      <c r="AA187" s="19">
        <f t="shared" si="57"/>
        <v>0</v>
      </c>
      <c r="AB187" s="19">
        <f t="shared" si="58"/>
        <v>0</v>
      </c>
      <c r="AD187" s="37">
        <v>21</v>
      </c>
      <c r="AE187" s="37">
        <f t="shared" si="59"/>
        <v>0</v>
      </c>
      <c r="AF187" s="37">
        <f t="shared" si="60"/>
        <v>0</v>
      </c>
      <c r="AG187" s="33" t="s">
        <v>13</v>
      </c>
      <c r="AM187" s="37">
        <f t="shared" si="61"/>
        <v>0</v>
      </c>
      <c r="AN187" s="37">
        <f t="shared" si="62"/>
        <v>0</v>
      </c>
      <c r="AO187" s="38" t="s">
        <v>1210</v>
      </c>
      <c r="AP187" s="38" t="s">
        <v>1229</v>
      </c>
      <c r="AQ187" s="28" t="s">
        <v>1234</v>
      </c>
      <c r="AS187" s="37">
        <f t="shared" si="63"/>
        <v>0</v>
      </c>
      <c r="AT187" s="37">
        <f t="shared" si="64"/>
        <v>0</v>
      </c>
      <c r="AU187" s="37">
        <v>0</v>
      </c>
      <c r="AV187" s="37">
        <f t="shared" si="65"/>
        <v>0</v>
      </c>
    </row>
    <row r="188" spans="1:48" ht="12.75">
      <c r="A188" s="5" t="s">
        <v>134</v>
      </c>
      <c r="B188" s="5"/>
      <c r="C188" s="5" t="s">
        <v>469</v>
      </c>
      <c r="D188" s="5" t="s">
        <v>907</v>
      </c>
      <c r="E188" s="5" t="s">
        <v>1153</v>
      </c>
      <c r="F188" s="19">
        <v>1</v>
      </c>
      <c r="G188" s="19">
        <v>0</v>
      </c>
      <c r="H188" s="19">
        <f t="shared" si="44"/>
        <v>0</v>
      </c>
      <c r="I188" s="19">
        <f t="shared" si="45"/>
        <v>0</v>
      </c>
      <c r="J188" s="19">
        <f t="shared" si="46"/>
        <v>0</v>
      </c>
      <c r="K188" s="19">
        <v>0</v>
      </c>
      <c r="L188" s="19">
        <f t="shared" si="47"/>
        <v>0</v>
      </c>
      <c r="M188" s="33" t="s">
        <v>1177</v>
      </c>
      <c r="P188" s="37">
        <f t="shared" si="48"/>
        <v>0</v>
      </c>
      <c r="R188" s="37">
        <f t="shared" si="49"/>
        <v>0</v>
      </c>
      <c r="S188" s="37">
        <f t="shared" si="50"/>
        <v>0</v>
      </c>
      <c r="T188" s="37">
        <f t="shared" si="51"/>
        <v>0</v>
      </c>
      <c r="U188" s="37">
        <f t="shared" si="52"/>
        <v>0</v>
      </c>
      <c r="V188" s="37">
        <f t="shared" si="53"/>
        <v>0</v>
      </c>
      <c r="W188" s="37">
        <f t="shared" si="54"/>
        <v>0</v>
      </c>
      <c r="X188" s="37">
        <f t="shared" si="55"/>
        <v>0</v>
      </c>
      <c r="Y188" s="28"/>
      <c r="Z188" s="19">
        <f t="shared" si="56"/>
        <v>0</v>
      </c>
      <c r="AA188" s="19">
        <f t="shared" si="57"/>
        <v>0</v>
      </c>
      <c r="AB188" s="19">
        <f t="shared" si="58"/>
        <v>0</v>
      </c>
      <c r="AD188" s="37">
        <v>21</v>
      </c>
      <c r="AE188" s="37">
        <f t="shared" si="59"/>
        <v>0</v>
      </c>
      <c r="AF188" s="37">
        <f t="shared" si="60"/>
        <v>0</v>
      </c>
      <c r="AG188" s="33" t="s">
        <v>13</v>
      </c>
      <c r="AM188" s="37">
        <f t="shared" si="61"/>
        <v>0</v>
      </c>
      <c r="AN188" s="37">
        <f t="shared" si="62"/>
        <v>0</v>
      </c>
      <c r="AO188" s="38" t="s">
        <v>1210</v>
      </c>
      <c r="AP188" s="38" t="s">
        <v>1229</v>
      </c>
      <c r="AQ188" s="28" t="s">
        <v>1234</v>
      </c>
      <c r="AS188" s="37">
        <f t="shared" si="63"/>
        <v>0</v>
      </c>
      <c r="AT188" s="37">
        <f t="shared" si="64"/>
        <v>0</v>
      </c>
      <c r="AU188" s="37">
        <v>0</v>
      </c>
      <c r="AV188" s="37">
        <f t="shared" si="65"/>
        <v>0</v>
      </c>
    </row>
    <row r="189" spans="1:48" ht="12.75">
      <c r="A189" s="5" t="s">
        <v>135</v>
      </c>
      <c r="B189" s="5"/>
      <c r="C189" s="5" t="s">
        <v>507</v>
      </c>
      <c r="D189" s="5" t="s">
        <v>908</v>
      </c>
      <c r="E189" s="5" t="s">
        <v>1153</v>
      </c>
      <c r="F189" s="19">
        <v>1</v>
      </c>
      <c r="G189" s="19">
        <v>0</v>
      </c>
      <c r="H189" s="19">
        <f t="shared" si="44"/>
        <v>0</v>
      </c>
      <c r="I189" s="19">
        <f t="shared" si="45"/>
        <v>0</v>
      </c>
      <c r="J189" s="19">
        <f t="shared" si="46"/>
        <v>0</v>
      </c>
      <c r="K189" s="19">
        <v>0</v>
      </c>
      <c r="L189" s="19">
        <f t="shared" si="47"/>
        <v>0</v>
      </c>
      <c r="M189" s="33" t="s">
        <v>1177</v>
      </c>
      <c r="P189" s="37">
        <f t="shared" si="48"/>
        <v>0</v>
      </c>
      <c r="R189" s="37">
        <f t="shared" si="49"/>
        <v>0</v>
      </c>
      <c r="S189" s="37">
        <f t="shared" si="50"/>
        <v>0</v>
      </c>
      <c r="T189" s="37">
        <f t="shared" si="51"/>
        <v>0</v>
      </c>
      <c r="U189" s="37">
        <f t="shared" si="52"/>
        <v>0</v>
      </c>
      <c r="V189" s="37">
        <f t="shared" si="53"/>
        <v>0</v>
      </c>
      <c r="W189" s="37">
        <f t="shared" si="54"/>
        <v>0</v>
      </c>
      <c r="X189" s="37">
        <f t="shared" si="55"/>
        <v>0</v>
      </c>
      <c r="Y189" s="28"/>
      <c r="Z189" s="19">
        <f t="shared" si="56"/>
        <v>0</v>
      </c>
      <c r="AA189" s="19">
        <f t="shared" si="57"/>
        <v>0</v>
      </c>
      <c r="AB189" s="19">
        <f t="shared" si="58"/>
        <v>0</v>
      </c>
      <c r="AD189" s="37">
        <v>21</v>
      </c>
      <c r="AE189" s="37">
        <f t="shared" si="59"/>
        <v>0</v>
      </c>
      <c r="AF189" s="37">
        <f t="shared" si="60"/>
        <v>0</v>
      </c>
      <c r="AG189" s="33" t="s">
        <v>13</v>
      </c>
      <c r="AM189" s="37">
        <f t="shared" si="61"/>
        <v>0</v>
      </c>
      <c r="AN189" s="37">
        <f t="shared" si="62"/>
        <v>0</v>
      </c>
      <c r="AO189" s="38" t="s">
        <v>1210</v>
      </c>
      <c r="AP189" s="38" t="s">
        <v>1229</v>
      </c>
      <c r="AQ189" s="28" t="s">
        <v>1234</v>
      </c>
      <c r="AS189" s="37">
        <f t="shared" si="63"/>
        <v>0</v>
      </c>
      <c r="AT189" s="37">
        <f t="shared" si="64"/>
        <v>0</v>
      </c>
      <c r="AU189" s="37">
        <v>0</v>
      </c>
      <c r="AV189" s="37">
        <f t="shared" si="65"/>
        <v>0</v>
      </c>
    </row>
    <row r="190" spans="1:48" ht="12.75">
      <c r="A190" s="5" t="s">
        <v>136</v>
      </c>
      <c r="B190" s="5"/>
      <c r="C190" s="5" t="s">
        <v>508</v>
      </c>
      <c r="D190" s="5" t="s">
        <v>909</v>
      </c>
      <c r="E190" s="5" t="s">
        <v>1154</v>
      </c>
      <c r="F190" s="19">
        <v>17.1</v>
      </c>
      <c r="G190" s="19">
        <v>0</v>
      </c>
      <c r="H190" s="19">
        <f t="shared" si="44"/>
        <v>0</v>
      </c>
      <c r="I190" s="19">
        <f t="shared" si="45"/>
        <v>0</v>
      </c>
      <c r="J190" s="19">
        <f t="shared" si="46"/>
        <v>0</v>
      </c>
      <c r="K190" s="19">
        <v>0</v>
      </c>
      <c r="L190" s="19">
        <f t="shared" si="47"/>
        <v>0</v>
      </c>
      <c r="M190" s="33" t="s">
        <v>1177</v>
      </c>
      <c r="P190" s="37">
        <f t="shared" si="48"/>
        <v>0</v>
      </c>
      <c r="R190" s="37">
        <f t="shared" si="49"/>
        <v>0</v>
      </c>
      <c r="S190" s="37">
        <f t="shared" si="50"/>
        <v>0</v>
      </c>
      <c r="T190" s="37">
        <f t="shared" si="51"/>
        <v>0</v>
      </c>
      <c r="U190" s="37">
        <f t="shared" si="52"/>
        <v>0</v>
      </c>
      <c r="V190" s="37">
        <f t="shared" si="53"/>
        <v>0</v>
      </c>
      <c r="W190" s="37">
        <f t="shared" si="54"/>
        <v>0</v>
      </c>
      <c r="X190" s="37">
        <f t="shared" si="55"/>
        <v>0</v>
      </c>
      <c r="Y190" s="28"/>
      <c r="Z190" s="19">
        <f t="shared" si="56"/>
        <v>0</v>
      </c>
      <c r="AA190" s="19">
        <f t="shared" si="57"/>
        <v>0</v>
      </c>
      <c r="AB190" s="19">
        <f t="shared" si="58"/>
        <v>0</v>
      </c>
      <c r="AD190" s="37">
        <v>21</v>
      </c>
      <c r="AE190" s="37">
        <f t="shared" si="59"/>
        <v>0</v>
      </c>
      <c r="AF190" s="37">
        <f t="shared" si="60"/>
        <v>0</v>
      </c>
      <c r="AG190" s="33" t="s">
        <v>13</v>
      </c>
      <c r="AM190" s="37">
        <f t="shared" si="61"/>
        <v>0</v>
      </c>
      <c r="AN190" s="37">
        <f t="shared" si="62"/>
        <v>0</v>
      </c>
      <c r="AO190" s="38" t="s">
        <v>1210</v>
      </c>
      <c r="AP190" s="38" t="s">
        <v>1229</v>
      </c>
      <c r="AQ190" s="28" t="s">
        <v>1234</v>
      </c>
      <c r="AS190" s="37">
        <f t="shared" si="63"/>
        <v>0</v>
      </c>
      <c r="AT190" s="37">
        <f t="shared" si="64"/>
        <v>0</v>
      </c>
      <c r="AU190" s="37">
        <v>0</v>
      </c>
      <c r="AV190" s="37">
        <f t="shared" si="65"/>
        <v>0</v>
      </c>
    </row>
    <row r="191" spans="1:48" ht="12.75">
      <c r="A191" s="5" t="s">
        <v>137</v>
      </c>
      <c r="B191" s="5"/>
      <c r="C191" s="5" t="s">
        <v>509</v>
      </c>
      <c r="D191" s="5" t="s">
        <v>910</v>
      </c>
      <c r="E191" s="5" t="s">
        <v>1154</v>
      </c>
      <c r="F191" s="19">
        <v>45.4</v>
      </c>
      <c r="G191" s="19">
        <v>0</v>
      </c>
      <c r="H191" s="19">
        <f t="shared" si="44"/>
        <v>0</v>
      </c>
      <c r="I191" s="19">
        <f t="shared" si="45"/>
        <v>0</v>
      </c>
      <c r="J191" s="19">
        <f t="shared" si="46"/>
        <v>0</v>
      </c>
      <c r="K191" s="19">
        <v>0</v>
      </c>
      <c r="L191" s="19">
        <f t="shared" si="47"/>
        <v>0</v>
      </c>
      <c r="M191" s="33" t="s">
        <v>1177</v>
      </c>
      <c r="P191" s="37">
        <f t="shared" si="48"/>
        <v>0</v>
      </c>
      <c r="R191" s="37">
        <f t="shared" si="49"/>
        <v>0</v>
      </c>
      <c r="S191" s="37">
        <f t="shared" si="50"/>
        <v>0</v>
      </c>
      <c r="T191" s="37">
        <f t="shared" si="51"/>
        <v>0</v>
      </c>
      <c r="U191" s="37">
        <f t="shared" si="52"/>
        <v>0</v>
      </c>
      <c r="V191" s="37">
        <f t="shared" si="53"/>
        <v>0</v>
      </c>
      <c r="W191" s="37">
        <f t="shared" si="54"/>
        <v>0</v>
      </c>
      <c r="X191" s="37">
        <f t="shared" si="55"/>
        <v>0</v>
      </c>
      <c r="Y191" s="28"/>
      <c r="Z191" s="19">
        <f t="shared" si="56"/>
        <v>0</v>
      </c>
      <c r="AA191" s="19">
        <f t="shared" si="57"/>
        <v>0</v>
      </c>
      <c r="AB191" s="19">
        <f t="shared" si="58"/>
        <v>0</v>
      </c>
      <c r="AD191" s="37">
        <v>21</v>
      </c>
      <c r="AE191" s="37">
        <f t="shared" si="59"/>
        <v>0</v>
      </c>
      <c r="AF191" s="37">
        <f t="shared" si="60"/>
        <v>0</v>
      </c>
      <c r="AG191" s="33" t="s">
        <v>13</v>
      </c>
      <c r="AM191" s="37">
        <f t="shared" si="61"/>
        <v>0</v>
      </c>
      <c r="AN191" s="37">
        <f t="shared" si="62"/>
        <v>0</v>
      </c>
      <c r="AO191" s="38" t="s">
        <v>1210</v>
      </c>
      <c r="AP191" s="38" t="s">
        <v>1229</v>
      </c>
      <c r="AQ191" s="28" t="s">
        <v>1234</v>
      </c>
      <c r="AS191" s="37">
        <f t="shared" si="63"/>
        <v>0</v>
      </c>
      <c r="AT191" s="37">
        <f t="shared" si="64"/>
        <v>0</v>
      </c>
      <c r="AU191" s="37">
        <v>0</v>
      </c>
      <c r="AV191" s="37">
        <f t="shared" si="65"/>
        <v>0</v>
      </c>
    </row>
    <row r="192" spans="1:48" ht="12.75">
      <c r="A192" s="5" t="s">
        <v>138</v>
      </c>
      <c r="B192" s="5"/>
      <c r="C192" s="5" t="s">
        <v>510</v>
      </c>
      <c r="D192" s="5" t="s">
        <v>911</v>
      </c>
      <c r="E192" s="5" t="s">
        <v>1154</v>
      </c>
      <c r="F192" s="19">
        <v>6.7</v>
      </c>
      <c r="G192" s="19">
        <v>0</v>
      </c>
      <c r="H192" s="19">
        <f t="shared" si="44"/>
        <v>0</v>
      </c>
      <c r="I192" s="19">
        <f t="shared" si="45"/>
        <v>0</v>
      </c>
      <c r="J192" s="19">
        <f t="shared" si="46"/>
        <v>0</v>
      </c>
      <c r="K192" s="19">
        <v>0</v>
      </c>
      <c r="L192" s="19">
        <f t="shared" si="47"/>
        <v>0</v>
      </c>
      <c r="M192" s="33" t="s">
        <v>1177</v>
      </c>
      <c r="P192" s="37">
        <f t="shared" si="48"/>
        <v>0</v>
      </c>
      <c r="R192" s="37">
        <f t="shared" si="49"/>
        <v>0</v>
      </c>
      <c r="S192" s="37">
        <f t="shared" si="50"/>
        <v>0</v>
      </c>
      <c r="T192" s="37">
        <f t="shared" si="51"/>
        <v>0</v>
      </c>
      <c r="U192" s="37">
        <f t="shared" si="52"/>
        <v>0</v>
      </c>
      <c r="V192" s="37">
        <f t="shared" si="53"/>
        <v>0</v>
      </c>
      <c r="W192" s="37">
        <f t="shared" si="54"/>
        <v>0</v>
      </c>
      <c r="X192" s="37">
        <f t="shared" si="55"/>
        <v>0</v>
      </c>
      <c r="Y192" s="28"/>
      <c r="Z192" s="19">
        <f t="shared" si="56"/>
        <v>0</v>
      </c>
      <c r="AA192" s="19">
        <f t="shared" si="57"/>
        <v>0</v>
      </c>
      <c r="AB192" s="19">
        <f t="shared" si="58"/>
        <v>0</v>
      </c>
      <c r="AD192" s="37">
        <v>21</v>
      </c>
      <c r="AE192" s="37">
        <f t="shared" si="59"/>
        <v>0</v>
      </c>
      <c r="AF192" s="37">
        <f t="shared" si="60"/>
        <v>0</v>
      </c>
      <c r="AG192" s="33" t="s">
        <v>13</v>
      </c>
      <c r="AM192" s="37">
        <f t="shared" si="61"/>
        <v>0</v>
      </c>
      <c r="AN192" s="37">
        <f t="shared" si="62"/>
        <v>0</v>
      </c>
      <c r="AO192" s="38" t="s">
        <v>1210</v>
      </c>
      <c r="AP192" s="38" t="s">
        <v>1229</v>
      </c>
      <c r="AQ192" s="28" t="s">
        <v>1234</v>
      </c>
      <c r="AS192" s="37">
        <f t="shared" si="63"/>
        <v>0</v>
      </c>
      <c r="AT192" s="37">
        <f t="shared" si="64"/>
        <v>0</v>
      </c>
      <c r="AU192" s="37">
        <v>0</v>
      </c>
      <c r="AV192" s="37">
        <f t="shared" si="65"/>
        <v>0</v>
      </c>
    </row>
    <row r="193" spans="1:48" ht="12.75">
      <c r="A193" s="5" t="s">
        <v>139</v>
      </c>
      <c r="B193" s="5"/>
      <c r="C193" s="5" t="s">
        <v>511</v>
      </c>
      <c r="D193" s="5" t="s">
        <v>912</v>
      </c>
      <c r="E193" s="5" t="s">
        <v>1154</v>
      </c>
      <c r="F193" s="19">
        <v>6.4</v>
      </c>
      <c r="G193" s="19">
        <v>0</v>
      </c>
      <c r="H193" s="19">
        <f t="shared" si="44"/>
        <v>0</v>
      </c>
      <c r="I193" s="19">
        <f t="shared" si="45"/>
        <v>0</v>
      </c>
      <c r="J193" s="19">
        <f t="shared" si="46"/>
        <v>0</v>
      </c>
      <c r="K193" s="19">
        <v>0</v>
      </c>
      <c r="L193" s="19">
        <f t="shared" si="47"/>
        <v>0</v>
      </c>
      <c r="M193" s="33" t="s">
        <v>1177</v>
      </c>
      <c r="P193" s="37">
        <f t="shared" si="48"/>
        <v>0</v>
      </c>
      <c r="R193" s="37">
        <f t="shared" si="49"/>
        <v>0</v>
      </c>
      <c r="S193" s="37">
        <f t="shared" si="50"/>
        <v>0</v>
      </c>
      <c r="T193" s="37">
        <f t="shared" si="51"/>
        <v>0</v>
      </c>
      <c r="U193" s="37">
        <f t="shared" si="52"/>
        <v>0</v>
      </c>
      <c r="V193" s="37">
        <f t="shared" si="53"/>
        <v>0</v>
      </c>
      <c r="W193" s="37">
        <f t="shared" si="54"/>
        <v>0</v>
      </c>
      <c r="X193" s="37">
        <f t="shared" si="55"/>
        <v>0</v>
      </c>
      <c r="Y193" s="28"/>
      <c r="Z193" s="19">
        <f t="shared" si="56"/>
        <v>0</v>
      </c>
      <c r="AA193" s="19">
        <f t="shared" si="57"/>
        <v>0</v>
      </c>
      <c r="AB193" s="19">
        <f t="shared" si="58"/>
        <v>0</v>
      </c>
      <c r="AD193" s="37">
        <v>21</v>
      </c>
      <c r="AE193" s="37">
        <f t="shared" si="59"/>
        <v>0</v>
      </c>
      <c r="AF193" s="37">
        <f t="shared" si="60"/>
        <v>0</v>
      </c>
      <c r="AG193" s="33" t="s">
        <v>13</v>
      </c>
      <c r="AM193" s="37">
        <f t="shared" si="61"/>
        <v>0</v>
      </c>
      <c r="AN193" s="37">
        <f t="shared" si="62"/>
        <v>0</v>
      </c>
      <c r="AO193" s="38" t="s">
        <v>1210</v>
      </c>
      <c r="AP193" s="38" t="s">
        <v>1229</v>
      </c>
      <c r="AQ193" s="28" t="s">
        <v>1234</v>
      </c>
      <c r="AS193" s="37">
        <f t="shared" si="63"/>
        <v>0</v>
      </c>
      <c r="AT193" s="37">
        <f t="shared" si="64"/>
        <v>0</v>
      </c>
      <c r="AU193" s="37">
        <v>0</v>
      </c>
      <c r="AV193" s="37">
        <f t="shared" si="65"/>
        <v>0</v>
      </c>
    </row>
    <row r="194" spans="1:48" ht="12.75">
      <c r="A194" s="5" t="s">
        <v>140</v>
      </c>
      <c r="B194" s="5"/>
      <c r="C194" s="5" t="s">
        <v>512</v>
      </c>
      <c r="D194" s="5" t="s">
        <v>913</v>
      </c>
      <c r="E194" s="5" t="s">
        <v>1154</v>
      </c>
      <c r="F194" s="19">
        <v>45.4</v>
      </c>
      <c r="G194" s="19">
        <v>0</v>
      </c>
      <c r="H194" s="19">
        <f t="shared" si="44"/>
        <v>0</v>
      </c>
      <c r="I194" s="19">
        <f t="shared" si="45"/>
        <v>0</v>
      </c>
      <c r="J194" s="19">
        <f t="shared" si="46"/>
        <v>0</v>
      </c>
      <c r="K194" s="19">
        <v>0</v>
      </c>
      <c r="L194" s="19">
        <f t="shared" si="47"/>
        <v>0</v>
      </c>
      <c r="M194" s="33" t="s">
        <v>1177</v>
      </c>
      <c r="P194" s="37">
        <f t="shared" si="48"/>
        <v>0</v>
      </c>
      <c r="R194" s="37">
        <f t="shared" si="49"/>
        <v>0</v>
      </c>
      <c r="S194" s="37">
        <f t="shared" si="50"/>
        <v>0</v>
      </c>
      <c r="T194" s="37">
        <f t="shared" si="51"/>
        <v>0</v>
      </c>
      <c r="U194" s="37">
        <f t="shared" si="52"/>
        <v>0</v>
      </c>
      <c r="V194" s="37">
        <f t="shared" si="53"/>
        <v>0</v>
      </c>
      <c r="W194" s="37">
        <f t="shared" si="54"/>
        <v>0</v>
      </c>
      <c r="X194" s="37">
        <f t="shared" si="55"/>
        <v>0</v>
      </c>
      <c r="Y194" s="28"/>
      <c r="Z194" s="19">
        <f t="shared" si="56"/>
        <v>0</v>
      </c>
      <c r="AA194" s="19">
        <f t="shared" si="57"/>
        <v>0</v>
      </c>
      <c r="AB194" s="19">
        <f t="shared" si="58"/>
        <v>0</v>
      </c>
      <c r="AD194" s="37">
        <v>21</v>
      </c>
      <c r="AE194" s="37">
        <f t="shared" si="59"/>
        <v>0</v>
      </c>
      <c r="AF194" s="37">
        <f t="shared" si="60"/>
        <v>0</v>
      </c>
      <c r="AG194" s="33" t="s">
        <v>13</v>
      </c>
      <c r="AM194" s="37">
        <f t="shared" si="61"/>
        <v>0</v>
      </c>
      <c r="AN194" s="37">
        <f t="shared" si="62"/>
        <v>0</v>
      </c>
      <c r="AO194" s="38" t="s">
        <v>1210</v>
      </c>
      <c r="AP194" s="38" t="s">
        <v>1229</v>
      </c>
      <c r="AQ194" s="28" t="s">
        <v>1234</v>
      </c>
      <c r="AS194" s="37">
        <f t="shared" si="63"/>
        <v>0</v>
      </c>
      <c r="AT194" s="37">
        <f t="shared" si="64"/>
        <v>0</v>
      </c>
      <c r="AU194" s="37">
        <v>0</v>
      </c>
      <c r="AV194" s="37">
        <f t="shared" si="65"/>
        <v>0</v>
      </c>
    </row>
    <row r="195" spans="1:48" ht="12.75">
      <c r="A195" s="5" t="s">
        <v>141</v>
      </c>
      <c r="B195" s="5"/>
      <c r="C195" s="5" t="s">
        <v>513</v>
      </c>
      <c r="D195" s="5" t="s">
        <v>914</v>
      </c>
      <c r="E195" s="5" t="s">
        <v>1154</v>
      </c>
      <c r="F195" s="19">
        <v>6.7</v>
      </c>
      <c r="G195" s="19">
        <v>0</v>
      </c>
      <c r="H195" s="19">
        <f t="shared" si="44"/>
        <v>0</v>
      </c>
      <c r="I195" s="19">
        <f t="shared" si="45"/>
        <v>0</v>
      </c>
      <c r="J195" s="19">
        <f t="shared" si="46"/>
        <v>0</v>
      </c>
      <c r="K195" s="19">
        <v>0</v>
      </c>
      <c r="L195" s="19">
        <f t="shared" si="47"/>
        <v>0</v>
      </c>
      <c r="M195" s="33" t="s">
        <v>1177</v>
      </c>
      <c r="P195" s="37">
        <f t="shared" si="48"/>
        <v>0</v>
      </c>
      <c r="R195" s="37">
        <f t="shared" si="49"/>
        <v>0</v>
      </c>
      <c r="S195" s="37">
        <f t="shared" si="50"/>
        <v>0</v>
      </c>
      <c r="T195" s="37">
        <f t="shared" si="51"/>
        <v>0</v>
      </c>
      <c r="U195" s="37">
        <f t="shared" si="52"/>
        <v>0</v>
      </c>
      <c r="V195" s="37">
        <f t="shared" si="53"/>
        <v>0</v>
      </c>
      <c r="W195" s="37">
        <f t="shared" si="54"/>
        <v>0</v>
      </c>
      <c r="X195" s="37">
        <f t="shared" si="55"/>
        <v>0</v>
      </c>
      <c r="Y195" s="28"/>
      <c r="Z195" s="19">
        <f t="shared" si="56"/>
        <v>0</v>
      </c>
      <c r="AA195" s="19">
        <f t="shared" si="57"/>
        <v>0</v>
      </c>
      <c r="AB195" s="19">
        <f t="shared" si="58"/>
        <v>0</v>
      </c>
      <c r="AD195" s="37">
        <v>21</v>
      </c>
      <c r="AE195" s="37">
        <f t="shared" si="59"/>
        <v>0</v>
      </c>
      <c r="AF195" s="37">
        <f t="shared" si="60"/>
        <v>0</v>
      </c>
      <c r="AG195" s="33" t="s">
        <v>13</v>
      </c>
      <c r="AM195" s="37">
        <f t="shared" si="61"/>
        <v>0</v>
      </c>
      <c r="AN195" s="37">
        <f t="shared" si="62"/>
        <v>0</v>
      </c>
      <c r="AO195" s="38" t="s">
        <v>1210</v>
      </c>
      <c r="AP195" s="38" t="s">
        <v>1229</v>
      </c>
      <c r="AQ195" s="28" t="s">
        <v>1234</v>
      </c>
      <c r="AS195" s="37">
        <f t="shared" si="63"/>
        <v>0</v>
      </c>
      <c r="AT195" s="37">
        <f t="shared" si="64"/>
        <v>0</v>
      </c>
      <c r="AU195" s="37">
        <v>0</v>
      </c>
      <c r="AV195" s="37">
        <f t="shared" si="65"/>
        <v>0</v>
      </c>
    </row>
    <row r="196" spans="1:48" ht="12.75">
      <c r="A196" s="5" t="s">
        <v>142</v>
      </c>
      <c r="B196" s="5"/>
      <c r="C196" s="5" t="s">
        <v>514</v>
      </c>
      <c r="D196" s="5" t="s">
        <v>915</v>
      </c>
      <c r="E196" s="5" t="s">
        <v>1154</v>
      </c>
      <c r="F196" s="19">
        <v>6.4</v>
      </c>
      <c r="G196" s="19">
        <v>0</v>
      </c>
      <c r="H196" s="19">
        <f t="shared" si="44"/>
        <v>0</v>
      </c>
      <c r="I196" s="19">
        <f t="shared" si="45"/>
        <v>0</v>
      </c>
      <c r="J196" s="19">
        <f t="shared" si="46"/>
        <v>0</v>
      </c>
      <c r="K196" s="19">
        <v>0</v>
      </c>
      <c r="L196" s="19">
        <f t="shared" si="47"/>
        <v>0</v>
      </c>
      <c r="M196" s="33" t="s">
        <v>1177</v>
      </c>
      <c r="P196" s="37">
        <f t="shared" si="48"/>
        <v>0</v>
      </c>
      <c r="R196" s="37">
        <f t="shared" si="49"/>
        <v>0</v>
      </c>
      <c r="S196" s="37">
        <f t="shared" si="50"/>
        <v>0</v>
      </c>
      <c r="T196" s="37">
        <f t="shared" si="51"/>
        <v>0</v>
      </c>
      <c r="U196" s="37">
        <f t="shared" si="52"/>
        <v>0</v>
      </c>
      <c r="V196" s="37">
        <f t="shared" si="53"/>
        <v>0</v>
      </c>
      <c r="W196" s="37">
        <f t="shared" si="54"/>
        <v>0</v>
      </c>
      <c r="X196" s="37">
        <f t="shared" si="55"/>
        <v>0</v>
      </c>
      <c r="Y196" s="28"/>
      <c r="Z196" s="19">
        <f t="shared" si="56"/>
        <v>0</v>
      </c>
      <c r="AA196" s="19">
        <f t="shared" si="57"/>
        <v>0</v>
      </c>
      <c r="AB196" s="19">
        <f t="shared" si="58"/>
        <v>0</v>
      </c>
      <c r="AD196" s="37">
        <v>21</v>
      </c>
      <c r="AE196" s="37">
        <f t="shared" si="59"/>
        <v>0</v>
      </c>
      <c r="AF196" s="37">
        <f t="shared" si="60"/>
        <v>0</v>
      </c>
      <c r="AG196" s="33" t="s">
        <v>13</v>
      </c>
      <c r="AM196" s="37">
        <f t="shared" si="61"/>
        <v>0</v>
      </c>
      <c r="AN196" s="37">
        <f t="shared" si="62"/>
        <v>0</v>
      </c>
      <c r="AO196" s="38" t="s">
        <v>1210</v>
      </c>
      <c r="AP196" s="38" t="s">
        <v>1229</v>
      </c>
      <c r="AQ196" s="28" t="s">
        <v>1234</v>
      </c>
      <c r="AS196" s="37">
        <f t="shared" si="63"/>
        <v>0</v>
      </c>
      <c r="AT196" s="37">
        <f t="shared" si="64"/>
        <v>0</v>
      </c>
      <c r="AU196" s="37">
        <v>0</v>
      </c>
      <c r="AV196" s="37">
        <f t="shared" si="65"/>
        <v>0</v>
      </c>
    </row>
    <row r="197" spans="1:48" ht="12.75">
      <c r="A197" s="5" t="s">
        <v>143</v>
      </c>
      <c r="B197" s="5"/>
      <c r="C197" s="5" t="s">
        <v>515</v>
      </c>
      <c r="D197" s="5" t="s">
        <v>916</v>
      </c>
      <c r="E197" s="5" t="s">
        <v>1153</v>
      </c>
      <c r="F197" s="19">
        <v>2</v>
      </c>
      <c r="G197" s="19">
        <v>0</v>
      </c>
      <c r="H197" s="19">
        <f t="shared" si="44"/>
        <v>0</v>
      </c>
      <c r="I197" s="19">
        <f t="shared" si="45"/>
        <v>0</v>
      </c>
      <c r="J197" s="19">
        <f t="shared" si="46"/>
        <v>0</v>
      </c>
      <c r="K197" s="19">
        <v>0</v>
      </c>
      <c r="L197" s="19">
        <f t="shared" si="47"/>
        <v>0</v>
      </c>
      <c r="M197" s="33" t="s">
        <v>1177</v>
      </c>
      <c r="P197" s="37">
        <f t="shared" si="48"/>
        <v>0</v>
      </c>
      <c r="R197" s="37">
        <f t="shared" si="49"/>
        <v>0</v>
      </c>
      <c r="S197" s="37">
        <f t="shared" si="50"/>
        <v>0</v>
      </c>
      <c r="T197" s="37">
        <f t="shared" si="51"/>
        <v>0</v>
      </c>
      <c r="U197" s="37">
        <f t="shared" si="52"/>
        <v>0</v>
      </c>
      <c r="V197" s="37">
        <f t="shared" si="53"/>
        <v>0</v>
      </c>
      <c r="W197" s="37">
        <f t="shared" si="54"/>
        <v>0</v>
      </c>
      <c r="X197" s="37">
        <f t="shared" si="55"/>
        <v>0</v>
      </c>
      <c r="Y197" s="28"/>
      <c r="Z197" s="19">
        <f t="shared" si="56"/>
        <v>0</v>
      </c>
      <c r="AA197" s="19">
        <f t="shared" si="57"/>
        <v>0</v>
      </c>
      <c r="AB197" s="19">
        <f t="shared" si="58"/>
        <v>0</v>
      </c>
      <c r="AD197" s="37">
        <v>21</v>
      </c>
      <c r="AE197" s="37">
        <f t="shared" si="59"/>
        <v>0</v>
      </c>
      <c r="AF197" s="37">
        <f t="shared" si="60"/>
        <v>0</v>
      </c>
      <c r="AG197" s="33" t="s">
        <v>13</v>
      </c>
      <c r="AM197" s="37">
        <f t="shared" si="61"/>
        <v>0</v>
      </c>
      <c r="AN197" s="37">
        <f t="shared" si="62"/>
        <v>0</v>
      </c>
      <c r="AO197" s="38" t="s">
        <v>1210</v>
      </c>
      <c r="AP197" s="38" t="s">
        <v>1229</v>
      </c>
      <c r="AQ197" s="28" t="s">
        <v>1234</v>
      </c>
      <c r="AS197" s="37">
        <f t="shared" si="63"/>
        <v>0</v>
      </c>
      <c r="AT197" s="37">
        <f t="shared" si="64"/>
        <v>0</v>
      </c>
      <c r="AU197" s="37">
        <v>0</v>
      </c>
      <c r="AV197" s="37">
        <f t="shared" si="65"/>
        <v>0</v>
      </c>
    </row>
    <row r="198" spans="1:48" ht="12.75">
      <c r="A198" s="5" t="s">
        <v>144</v>
      </c>
      <c r="B198" s="5"/>
      <c r="C198" s="5" t="s">
        <v>516</v>
      </c>
      <c r="D198" s="5" t="s">
        <v>917</v>
      </c>
      <c r="E198" s="5" t="s">
        <v>1153</v>
      </c>
      <c r="F198" s="19">
        <v>1</v>
      </c>
      <c r="G198" s="19">
        <v>0</v>
      </c>
      <c r="H198" s="19">
        <f t="shared" si="44"/>
        <v>0</v>
      </c>
      <c r="I198" s="19">
        <f t="shared" si="45"/>
        <v>0</v>
      </c>
      <c r="J198" s="19">
        <f t="shared" si="46"/>
        <v>0</v>
      </c>
      <c r="K198" s="19">
        <v>0</v>
      </c>
      <c r="L198" s="19">
        <f t="shared" si="47"/>
        <v>0</v>
      </c>
      <c r="M198" s="33" t="s">
        <v>1177</v>
      </c>
      <c r="P198" s="37">
        <f t="shared" si="48"/>
        <v>0</v>
      </c>
      <c r="R198" s="37">
        <f t="shared" si="49"/>
        <v>0</v>
      </c>
      <c r="S198" s="37">
        <f t="shared" si="50"/>
        <v>0</v>
      </c>
      <c r="T198" s="37">
        <f t="shared" si="51"/>
        <v>0</v>
      </c>
      <c r="U198" s="37">
        <f t="shared" si="52"/>
        <v>0</v>
      </c>
      <c r="V198" s="37">
        <f t="shared" si="53"/>
        <v>0</v>
      </c>
      <c r="W198" s="37">
        <f t="shared" si="54"/>
        <v>0</v>
      </c>
      <c r="X198" s="37">
        <f t="shared" si="55"/>
        <v>0</v>
      </c>
      <c r="Y198" s="28"/>
      <c r="Z198" s="19">
        <f t="shared" si="56"/>
        <v>0</v>
      </c>
      <c r="AA198" s="19">
        <f t="shared" si="57"/>
        <v>0</v>
      </c>
      <c r="AB198" s="19">
        <f t="shared" si="58"/>
        <v>0</v>
      </c>
      <c r="AD198" s="37">
        <v>21</v>
      </c>
      <c r="AE198" s="37">
        <f t="shared" si="59"/>
        <v>0</v>
      </c>
      <c r="AF198" s="37">
        <f t="shared" si="60"/>
        <v>0</v>
      </c>
      <c r="AG198" s="33" t="s">
        <v>13</v>
      </c>
      <c r="AM198" s="37">
        <f t="shared" si="61"/>
        <v>0</v>
      </c>
      <c r="AN198" s="37">
        <f t="shared" si="62"/>
        <v>0</v>
      </c>
      <c r="AO198" s="38" t="s">
        <v>1210</v>
      </c>
      <c r="AP198" s="38" t="s">
        <v>1229</v>
      </c>
      <c r="AQ198" s="28" t="s">
        <v>1234</v>
      </c>
      <c r="AS198" s="37">
        <f t="shared" si="63"/>
        <v>0</v>
      </c>
      <c r="AT198" s="37">
        <f t="shared" si="64"/>
        <v>0</v>
      </c>
      <c r="AU198" s="37">
        <v>0</v>
      </c>
      <c r="AV198" s="37">
        <f t="shared" si="65"/>
        <v>0</v>
      </c>
    </row>
    <row r="199" spans="1:48" ht="12.75">
      <c r="A199" s="5" t="s">
        <v>145</v>
      </c>
      <c r="B199" s="5"/>
      <c r="C199" s="5" t="s">
        <v>517</v>
      </c>
      <c r="D199" s="5" t="s">
        <v>918</v>
      </c>
      <c r="E199" s="5" t="s">
        <v>1153</v>
      </c>
      <c r="F199" s="19">
        <v>3</v>
      </c>
      <c r="G199" s="19">
        <v>0</v>
      </c>
      <c r="H199" s="19">
        <f t="shared" si="44"/>
        <v>0</v>
      </c>
      <c r="I199" s="19">
        <f t="shared" si="45"/>
        <v>0</v>
      </c>
      <c r="J199" s="19">
        <f t="shared" si="46"/>
        <v>0</v>
      </c>
      <c r="K199" s="19">
        <v>0</v>
      </c>
      <c r="L199" s="19">
        <f t="shared" si="47"/>
        <v>0</v>
      </c>
      <c r="M199" s="33" t="s">
        <v>1177</v>
      </c>
      <c r="P199" s="37">
        <f t="shared" si="48"/>
        <v>0</v>
      </c>
      <c r="R199" s="37">
        <f t="shared" si="49"/>
        <v>0</v>
      </c>
      <c r="S199" s="37">
        <f t="shared" si="50"/>
        <v>0</v>
      </c>
      <c r="T199" s="37">
        <f t="shared" si="51"/>
        <v>0</v>
      </c>
      <c r="U199" s="37">
        <f t="shared" si="52"/>
        <v>0</v>
      </c>
      <c r="V199" s="37">
        <f t="shared" si="53"/>
        <v>0</v>
      </c>
      <c r="W199" s="37">
        <f t="shared" si="54"/>
        <v>0</v>
      </c>
      <c r="X199" s="37">
        <f t="shared" si="55"/>
        <v>0</v>
      </c>
      <c r="Y199" s="28"/>
      <c r="Z199" s="19">
        <f t="shared" si="56"/>
        <v>0</v>
      </c>
      <c r="AA199" s="19">
        <f t="shared" si="57"/>
        <v>0</v>
      </c>
      <c r="AB199" s="19">
        <f t="shared" si="58"/>
        <v>0</v>
      </c>
      <c r="AD199" s="37">
        <v>21</v>
      </c>
      <c r="AE199" s="37">
        <f t="shared" si="59"/>
        <v>0</v>
      </c>
      <c r="AF199" s="37">
        <f t="shared" si="60"/>
        <v>0</v>
      </c>
      <c r="AG199" s="33" t="s">
        <v>13</v>
      </c>
      <c r="AM199" s="37">
        <f t="shared" si="61"/>
        <v>0</v>
      </c>
      <c r="AN199" s="37">
        <f t="shared" si="62"/>
        <v>0</v>
      </c>
      <c r="AO199" s="38" t="s">
        <v>1210</v>
      </c>
      <c r="AP199" s="38" t="s">
        <v>1229</v>
      </c>
      <c r="AQ199" s="28" t="s">
        <v>1234</v>
      </c>
      <c r="AS199" s="37">
        <f t="shared" si="63"/>
        <v>0</v>
      </c>
      <c r="AT199" s="37">
        <f t="shared" si="64"/>
        <v>0</v>
      </c>
      <c r="AU199" s="37">
        <v>0</v>
      </c>
      <c r="AV199" s="37">
        <f t="shared" si="65"/>
        <v>0</v>
      </c>
    </row>
    <row r="200" spans="1:48" ht="12.75">
      <c r="A200" s="5" t="s">
        <v>146</v>
      </c>
      <c r="B200" s="5"/>
      <c r="C200" s="5" t="s">
        <v>518</v>
      </c>
      <c r="D200" s="5" t="s">
        <v>919</v>
      </c>
      <c r="E200" s="5" t="s">
        <v>1153</v>
      </c>
      <c r="F200" s="19">
        <v>1</v>
      </c>
      <c r="G200" s="19">
        <v>0</v>
      </c>
      <c r="H200" s="19">
        <f t="shared" si="44"/>
        <v>0</v>
      </c>
      <c r="I200" s="19">
        <f t="shared" si="45"/>
        <v>0</v>
      </c>
      <c r="J200" s="19">
        <f t="shared" si="46"/>
        <v>0</v>
      </c>
      <c r="K200" s="19">
        <v>0</v>
      </c>
      <c r="L200" s="19">
        <f t="shared" si="47"/>
        <v>0</v>
      </c>
      <c r="M200" s="33" t="s">
        <v>1177</v>
      </c>
      <c r="P200" s="37">
        <f t="shared" si="48"/>
        <v>0</v>
      </c>
      <c r="R200" s="37">
        <f t="shared" si="49"/>
        <v>0</v>
      </c>
      <c r="S200" s="37">
        <f t="shared" si="50"/>
        <v>0</v>
      </c>
      <c r="T200" s="37">
        <f t="shared" si="51"/>
        <v>0</v>
      </c>
      <c r="U200" s="37">
        <f t="shared" si="52"/>
        <v>0</v>
      </c>
      <c r="V200" s="37">
        <f t="shared" si="53"/>
        <v>0</v>
      </c>
      <c r="W200" s="37">
        <f t="shared" si="54"/>
        <v>0</v>
      </c>
      <c r="X200" s="37">
        <f t="shared" si="55"/>
        <v>0</v>
      </c>
      <c r="Y200" s="28"/>
      <c r="Z200" s="19">
        <f t="shared" si="56"/>
        <v>0</v>
      </c>
      <c r="AA200" s="19">
        <f t="shared" si="57"/>
        <v>0</v>
      </c>
      <c r="AB200" s="19">
        <f t="shared" si="58"/>
        <v>0</v>
      </c>
      <c r="AD200" s="37">
        <v>21</v>
      </c>
      <c r="AE200" s="37">
        <f t="shared" si="59"/>
        <v>0</v>
      </c>
      <c r="AF200" s="37">
        <f t="shared" si="60"/>
        <v>0</v>
      </c>
      <c r="AG200" s="33" t="s">
        <v>13</v>
      </c>
      <c r="AM200" s="37">
        <f t="shared" si="61"/>
        <v>0</v>
      </c>
      <c r="AN200" s="37">
        <f t="shared" si="62"/>
        <v>0</v>
      </c>
      <c r="AO200" s="38" t="s">
        <v>1210</v>
      </c>
      <c r="AP200" s="38" t="s">
        <v>1229</v>
      </c>
      <c r="AQ200" s="28" t="s">
        <v>1234</v>
      </c>
      <c r="AS200" s="37">
        <f t="shared" si="63"/>
        <v>0</v>
      </c>
      <c r="AT200" s="37">
        <f t="shared" si="64"/>
        <v>0</v>
      </c>
      <c r="AU200" s="37">
        <v>0</v>
      </c>
      <c r="AV200" s="37">
        <f t="shared" si="65"/>
        <v>0</v>
      </c>
    </row>
    <row r="201" spans="1:48" ht="12.75">
      <c r="A201" s="5" t="s">
        <v>147</v>
      </c>
      <c r="B201" s="5"/>
      <c r="C201" s="5" t="s">
        <v>519</v>
      </c>
      <c r="D201" s="5" t="s">
        <v>920</v>
      </c>
      <c r="E201" s="5" t="s">
        <v>1153</v>
      </c>
      <c r="F201" s="19">
        <v>1</v>
      </c>
      <c r="G201" s="19">
        <v>0</v>
      </c>
      <c r="H201" s="19">
        <f t="shared" si="44"/>
        <v>0</v>
      </c>
      <c r="I201" s="19">
        <f t="shared" si="45"/>
        <v>0</v>
      </c>
      <c r="J201" s="19">
        <f t="shared" si="46"/>
        <v>0</v>
      </c>
      <c r="K201" s="19">
        <v>0</v>
      </c>
      <c r="L201" s="19">
        <f t="shared" si="47"/>
        <v>0</v>
      </c>
      <c r="M201" s="33" t="s">
        <v>1177</v>
      </c>
      <c r="P201" s="37">
        <f t="shared" si="48"/>
        <v>0</v>
      </c>
      <c r="R201" s="37">
        <f t="shared" si="49"/>
        <v>0</v>
      </c>
      <c r="S201" s="37">
        <f t="shared" si="50"/>
        <v>0</v>
      </c>
      <c r="T201" s="37">
        <f t="shared" si="51"/>
        <v>0</v>
      </c>
      <c r="U201" s="37">
        <f t="shared" si="52"/>
        <v>0</v>
      </c>
      <c r="V201" s="37">
        <f t="shared" si="53"/>
        <v>0</v>
      </c>
      <c r="W201" s="37">
        <f t="shared" si="54"/>
        <v>0</v>
      </c>
      <c r="X201" s="37">
        <f t="shared" si="55"/>
        <v>0</v>
      </c>
      <c r="Y201" s="28"/>
      <c r="Z201" s="19">
        <f t="shared" si="56"/>
        <v>0</v>
      </c>
      <c r="AA201" s="19">
        <f t="shared" si="57"/>
        <v>0</v>
      </c>
      <c r="AB201" s="19">
        <f t="shared" si="58"/>
        <v>0</v>
      </c>
      <c r="AD201" s="37">
        <v>21</v>
      </c>
      <c r="AE201" s="37">
        <f t="shared" si="59"/>
        <v>0</v>
      </c>
      <c r="AF201" s="37">
        <f t="shared" si="60"/>
        <v>0</v>
      </c>
      <c r="AG201" s="33" t="s">
        <v>13</v>
      </c>
      <c r="AM201" s="37">
        <f t="shared" si="61"/>
        <v>0</v>
      </c>
      <c r="AN201" s="37">
        <f t="shared" si="62"/>
        <v>0</v>
      </c>
      <c r="AO201" s="38" t="s">
        <v>1210</v>
      </c>
      <c r="AP201" s="38" t="s">
        <v>1229</v>
      </c>
      <c r="AQ201" s="28" t="s">
        <v>1234</v>
      </c>
      <c r="AS201" s="37">
        <f t="shared" si="63"/>
        <v>0</v>
      </c>
      <c r="AT201" s="37">
        <f t="shared" si="64"/>
        <v>0</v>
      </c>
      <c r="AU201" s="37">
        <v>0</v>
      </c>
      <c r="AV201" s="37">
        <f t="shared" si="65"/>
        <v>0</v>
      </c>
    </row>
    <row r="202" spans="1:48" ht="12.75">
      <c r="A202" s="5" t="s">
        <v>148</v>
      </c>
      <c r="B202" s="5"/>
      <c r="C202" s="5" t="s">
        <v>520</v>
      </c>
      <c r="D202" s="5" t="s">
        <v>921</v>
      </c>
      <c r="E202" s="5" t="s">
        <v>1153</v>
      </c>
      <c r="F202" s="19">
        <v>1</v>
      </c>
      <c r="G202" s="19">
        <v>0</v>
      </c>
      <c r="H202" s="19">
        <f t="shared" si="44"/>
        <v>0</v>
      </c>
      <c r="I202" s="19">
        <f t="shared" si="45"/>
        <v>0</v>
      </c>
      <c r="J202" s="19">
        <f t="shared" si="46"/>
        <v>0</v>
      </c>
      <c r="K202" s="19">
        <v>0</v>
      </c>
      <c r="L202" s="19">
        <f t="shared" si="47"/>
        <v>0</v>
      </c>
      <c r="M202" s="33" t="s">
        <v>1177</v>
      </c>
      <c r="P202" s="37">
        <f t="shared" si="48"/>
        <v>0</v>
      </c>
      <c r="R202" s="37">
        <f t="shared" si="49"/>
        <v>0</v>
      </c>
      <c r="S202" s="37">
        <f t="shared" si="50"/>
        <v>0</v>
      </c>
      <c r="T202" s="37">
        <f t="shared" si="51"/>
        <v>0</v>
      </c>
      <c r="U202" s="37">
        <f t="shared" si="52"/>
        <v>0</v>
      </c>
      <c r="V202" s="37">
        <f t="shared" si="53"/>
        <v>0</v>
      </c>
      <c r="W202" s="37">
        <f t="shared" si="54"/>
        <v>0</v>
      </c>
      <c r="X202" s="37">
        <f t="shared" si="55"/>
        <v>0</v>
      </c>
      <c r="Y202" s="28"/>
      <c r="Z202" s="19">
        <f t="shared" si="56"/>
        <v>0</v>
      </c>
      <c r="AA202" s="19">
        <f t="shared" si="57"/>
        <v>0</v>
      </c>
      <c r="AB202" s="19">
        <f t="shared" si="58"/>
        <v>0</v>
      </c>
      <c r="AD202" s="37">
        <v>21</v>
      </c>
      <c r="AE202" s="37">
        <f t="shared" si="59"/>
        <v>0</v>
      </c>
      <c r="AF202" s="37">
        <f t="shared" si="60"/>
        <v>0</v>
      </c>
      <c r="AG202" s="33" t="s">
        <v>13</v>
      </c>
      <c r="AM202" s="37">
        <f t="shared" si="61"/>
        <v>0</v>
      </c>
      <c r="AN202" s="37">
        <f t="shared" si="62"/>
        <v>0</v>
      </c>
      <c r="AO202" s="38" t="s">
        <v>1210</v>
      </c>
      <c r="AP202" s="38" t="s">
        <v>1229</v>
      </c>
      <c r="AQ202" s="28" t="s">
        <v>1234</v>
      </c>
      <c r="AS202" s="37">
        <f t="shared" si="63"/>
        <v>0</v>
      </c>
      <c r="AT202" s="37">
        <f t="shared" si="64"/>
        <v>0</v>
      </c>
      <c r="AU202" s="37">
        <v>0</v>
      </c>
      <c r="AV202" s="37">
        <f t="shared" si="65"/>
        <v>0</v>
      </c>
    </row>
    <row r="203" spans="1:48" ht="12.75">
      <c r="A203" s="5" t="s">
        <v>149</v>
      </c>
      <c r="B203" s="5"/>
      <c r="C203" s="5" t="s">
        <v>521</v>
      </c>
      <c r="D203" s="5" t="s">
        <v>922</v>
      </c>
      <c r="E203" s="5" t="s">
        <v>1153</v>
      </c>
      <c r="F203" s="19">
        <v>1</v>
      </c>
      <c r="G203" s="19">
        <v>0</v>
      </c>
      <c r="H203" s="19">
        <f t="shared" si="44"/>
        <v>0</v>
      </c>
      <c r="I203" s="19">
        <f t="shared" si="45"/>
        <v>0</v>
      </c>
      <c r="J203" s="19">
        <f t="shared" si="46"/>
        <v>0</v>
      </c>
      <c r="K203" s="19">
        <v>0</v>
      </c>
      <c r="L203" s="19">
        <f t="shared" si="47"/>
        <v>0</v>
      </c>
      <c r="M203" s="33" t="s">
        <v>1177</v>
      </c>
      <c r="P203" s="37">
        <f t="shared" si="48"/>
        <v>0</v>
      </c>
      <c r="R203" s="37">
        <f t="shared" si="49"/>
        <v>0</v>
      </c>
      <c r="S203" s="37">
        <f t="shared" si="50"/>
        <v>0</v>
      </c>
      <c r="T203" s="37">
        <f t="shared" si="51"/>
        <v>0</v>
      </c>
      <c r="U203" s="37">
        <f t="shared" si="52"/>
        <v>0</v>
      </c>
      <c r="V203" s="37">
        <f t="shared" si="53"/>
        <v>0</v>
      </c>
      <c r="W203" s="37">
        <f t="shared" si="54"/>
        <v>0</v>
      </c>
      <c r="X203" s="37">
        <f t="shared" si="55"/>
        <v>0</v>
      </c>
      <c r="Y203" s="28"/>
      <c r="Z203" s="19">
        <f t="shared" si="56"/>
        <v>0</v>
      </c>
      <c r="AA203" s="19">
        <f t="shared" si="57"/>
        <v>0</v>
      </c>
      <c r="AB203" s="19">
        <f t="shared" si="58"/>
        <v>0</v>
      </c>
      <c r="AD203" s="37">
        <v>21</v>
      </c>
      <c r="AE203" s="37">
        <f t="shared" si="59"/>
        <v>0</v>
      </c>
      <c r="AF203" s="37">
        <f t="shared" si="60"/>
        <v>0</v>
      </c>
      <c r="AG203" s="33" t="s">
        <v>13</v>
      </c>
      <c r="AM203" s="37">
        <f t="shared" si="61"/>
        <v>0</v>
      </c>
      <c r="AN203" s="37">
        <f t="shared" si="62"/>
        <v>0</v>
      </c>
      <c r="AO203" s="38" t="s">
        <v>1210</v>
      </c>
      <c r="AP203" s="38" t="s">
        <v>1229</v>
      </c>
      <c r="AQ203" s="28" t="s">
        <v>1234</v>
      </c>
      <c r="AS203" s="37">
        <f t="shared" si="63"/>
        <v>0</v>
      </c>
      <c r="AT203" s="37">
        <f t="shared" si="64"/>
        <v>0</v>
      </c>
      <c r="AU203" s="37">
        <v>0</v>
      </c>
      <c r="AV203" s="37">
        <f t="shared" si="65"/>
        <v>0</v>
      </c>
    </row>
    <row r="204" spans="1:48" ht="12.75">
      <c r="A204" s="5" t="s">
        <v>150</v>
      </c>
      <c r="B204" s="5"/>
      <c r="C204" s="5" t="s">
        <v>522</v>
      </c>
      <c r="D204" s="5" t="s">
        <v>923</v>
      </c>
      <c r="E204" s="5" t="s">
        <v>1153</v>
      </c>
      <c r="F204" s="19">
        <v>2</v>
      </c>
      <c r="G204" s="19">
        <v>0</v>
      </c>
      <c r="H204" s="19">
        <f t="shared" si="44"/>
        <v>0</v>
      </c>
      <c r="I204" s="19">
        <f t="shared" si="45"/>
        <v>0</v>
      </c>
      <c r="J204" s="19">
        <f t="shared" si="46"/>
        <v>0</v>
      </c>
      <c r="K204" s="19">
        <v>0</v>
      </c>
      <c r="L204" s="19">
        <f t="shared" si="47"/>
        <v>0</v>
      </c>
      <c r="M204" s="33" t="s">
        <v>1177</v>
      </c>
      <c r="P204" s="37">
        <f t="shared" si="48"/>
        <v>0</v>
      </c>
      <c r="R204" s="37">
        <f t="shared" si="49"/>
        <v>0</v>
      </c>
      <c r="S204" s="37">
        <f t="shared" si="50"/>
        <v>0</v>
      </c>
      <c r="T204" s="37">
        <f t="shared" si="51"/>
        <v>0</v>
      </c>
      <c r="U204" s="37">
        <f t="shared" si="52"/>
        <v>0</v>
      </c>
      <c r="V204" s="37">
        <f t="shared" si="53"/>
        <v>0</v>
      </c>
      <c r="W204" s="37">
        <f t="shared" si="54"/>
        <v>0</v>
      </c>
      <c r="X204" s="37">
        <f t="shared" si="55"/>
        <v>0</v>
      </c>
      <c r="Y204" s="28"/>
      <c r="Z204" s="19">
        <f t="shared" si="56"/>
        <v>0</v>
      </c>
      <c r="AA204" s="19">
        <f t="shared" si="57"/>
        <v>0</v>
      </c>
      <c r="AB204" s="19">
        <f t="shared" si="58"/>
        <v>0</v>
      </c>
      <c r="AD204" s="37">
        <v>21</v>
      </c>
      <c r="AE204" s="37">
        <f t="shared" si="59"/>
        <v>0</v>
      </c>
      <c r="AF204" s="37">
        <f t="shared" si="60"/>
        <v>0</v>
      </c>
      <c r="AG204" s="33" t="s">
        <v>13</v>
      </c>
      <c r="AM204" s="37">
        <f t="shared" si="61"/>
        <v>0</v>
      </c>
      <c r="AN204" s="37">
        <f t="shared" si="62"/>
        <v>0</v>
      </c>
      <c r="AO204" s="38" t="s">
        <v>1210</v>
      </c>
      <c r="AP204" s="38" t="s">
        <v>1229</v>
      </c>
      <c r="AQ204" s="28" t="s">
        <v>1234</v>
      </c>
      <c r="AS204" s="37">
        <f t="shared" si="63"/>
        <v>0</v>
      </c>
      <c r="AT204" s="37">
        <f t="shared" si="64"/>
        <v>0</v>
      </c>
      <c r="AU204" s="37">
        <v>0</v>
      </c>
      <c r="AV204" s="37">
        <f t="shared" si="65"/>
        <v>0</v>
      </c>
    </row>
    <row r="205" spans="1:48" ht="12.75">
      <c r="A205" s="5" t="s">
        <v>151</v>
      </c>
      <c r="B205" s="5"/>
      <c r="C205" s="5" t="s">
        <v>523</v>
      </c>
      <c r="D205" s="5" t="s">
        <v>924</v>
      </c>
      <c r="E205" s="5" t="s">
        <v>1153</v>
      </c>
      <c r="F205" s="19">
        <v>1</v>
      </c>
      <c r="G205" s="19">
        <v>0</v>
      </c>
      <c r="H205" s="19">
        <f t="shared" si="44"/>
        <v>0</v>
      </c>
      <c r="I205" s="19">
        <f t="shared" si="45"/>
        <v>0</v>
      </c>
      <c r="J205" s="19">
        <f t="shared" si="46"/>
        <v>0</v>
      </c>
      <c r="K205" s="19">
        <v>0</v>
      </c>
      <c r="L205" s="19">
        <f t="shared" si="47"/>
        <v>0</v>
      </c>
      <c r="M205" s="33" t="s">
        <v>1177</v>
      </c>
      <c r="P205" s="37">
        <f t="shared" si="48"/>
        <v>0</v>
      </c>
      <c r="R205" s="37">
        <f t="shared" si="49"/>
        <v>0</v>
      </c>
      <c r="S205" s="37">
        <f t="shared" si="50"/>
        <v>0</v>
      </c>
      <c r="T205" s="37">
        <f t="shared" si="51"/>
        <v>0</v>
      </c>
      <c r="U205" s="37">
        <f t="shared" si="52"/>
        <v>0</v>
      </c>
      <c r="V205" s="37">
        <f t="shared" si="53"/>
        <v>0</v>
      </c>
      <c r="W205" s="37">
        <f t="shared" si="54"/>
        <v>0</v>
      </c>
      <c r="X205" s="37">
        <f t="shared" si="55"/>
        <v>0</v>
      </c>
      <c r="Y205" s="28"/>
      <c r="Z205" s="19">
        <f t="shared" si="56"/>
        <v>0</v>
      </c>
      <c r="AA205" s="19">
        <f t="shared" si="57"/>
        <v>0</v>
      </c>
      <c r="AB205" s="19">
        <f t="shared" si="58"/>
        <v>0</v>
      </c>
      <c r="AD205" s="37">
        <v>21</v>
      </c>
      <c r="AE205" s="37">
        <f t="shared" si="59"/>
        <v>0</v>
      </c>
      <c r="AF205" s="37">
        <f t="shared" si="60"/>
        <v>0</v>
      </c>
      <c r="AG205" s="33" t="s">
        <v>13</v>
      </c>
      <c r="AM205" s="37">
        <f t="shared" si="61"/>
        <v>0</v>
      </c>
      <c r="AN205" s="37">
        <f t="shared" si="62"/>
        <v>0</v>
      </c>
      <c r="AO205" s="38" t="s">
        <v>1210</v>
      </c>
      <c r="AP205" s="38" t="s">
        <v>1229</v>
      </c>
      <c r="AQ205" s="28" t="s">
        <v>1234</v>
      </c>
      <c r="AS205" s="37">
        <f t="shared" si="63"/>
        <v>0</v>
      </c>
      <c r="AT205" s="37">
        <f t="shared" si="64"/>
        <v>0</v>
      </c>
      <c r="AU205" s="37">
        <v>0</v>
      </c>
      <c r="AV205" s="37">
        <f t="shared" si="65"/>
        <v>0</v>
      </c>
    </row>
    <row r="206" spans="1:48" ht="12.75">
      <c r="A206" s="5" t="s">
        <v>152</v>
      </c>
      <c r="B206" s="5"/>
      <c r="C206" s="5" t="s">
        <v>524</v>
      </c>
      <c r="D206" s="5" t="s">
        <v>925</v>
      </c>
      <c r="E206" s="5" t="s">
        <v>1153</v>
      </c>
      <c r="F206" s="19">
        <v>1</v>
      </c>
      <c r="G206" s="19">
        <v>0</v>
      </c>
      <c r="H206" s="19">
        <f t="shared" si="44"/>
        <v>0</v>
      </c>
      <c r="I206" s="19">
        <f t="shared" si="45"/>
        <v>0</v>
      </c>
      <c r="J206" s="19">
        <f t="shared" si="46"/>
        <v>0</v>
      </c>
      <c r="K206" s="19">
        <v>0</v>
      </c>
      <c r="L206" s="19">
        <f t="shared" si="47"/>
        <v>0</v>
      </c>
      <c r="M206" s="33" t="s">
        <v>1177</v>
      </c>
      <c r="P206" s="37">
        <f t="shared" si="48"/>
        <v>0</v>
      </c>
      <c r="R206" s="37">
        <f t="shared" si="49"/>
        <v>0</v>
      </c>
      <c r="S206" s="37">
        <f t="shared" si="50"/>
        <v>0</v>
      </c>
      <c r="T206" s="37">
        <f t="shared" si="51"/>
        <v>0</v>
      </c>
      <c r="U206" s="37">
        <f t="shared" si="52"/>
        <v>0</v>
      </c>
      <c r="V206" s="37">
        <f t="shared" si="53"/>
        <v>0</v>
      </c>
      <c r="W206" s="37">
        <f t="shared" si="54"/>
        <v>0</v>
      </c>
      <c r="X206" s="37">
        <f t="shared" si="55"/>
        <v>0</v>
      </c>
      <c r="Y206" s="28"/>
      <c r="Z206" s="19">
        <f t="shared" si="56"/>
        <v>0</v>
      </c>
      <c r="AA206" s="19">
        <f t="shared" si="57"/>
        <v>0</v>
      </c>
      <c r="AB206" s="19">
        <f t="shared" si="58"/>
        <v>0</v>
      </c>
      <c r="AD206" s="37">
        <v>21</v>
      </c>
      <c r="AE206" s="37">
        <f t="shared" si="59"/>
        <v>0</v>
      </c>
      <c r="AF206" s="37">
        <f t="shared" si="60"/>
        <v>0</v>
      </c>
      <c r="AG206" s="33" t="s">
        <v>13</v>
      </c>
      <c r="AM206" s="37">
        <f t="shared" si="61"/>
        <v>0</v>
      </c>
      <c r="AN206" s="37">
        <f t="shared" si="62"/>
        <v>0</v>
      </c>
      <c r="AO206" s="38" t="s">
        <v>1210</v>
      </c>
      <c r="AP206" s="38" t="s">
        <v>1229</v>
      </c>
      <c r="AQ206" s="28" t="s">
        <v>1234</v>
      </c>
      <c r="AS206" s="37">
        <f t="shared" si="63"/>
        <v>0</v>
      </c>
      <c r="AT206" s="37">
        <f t="shared" si="64"/>
        <v>0</v>
      </c>
      <c r="AU206" s="37">
        <v>0</v>
      </c>
      <c r="AV206" s="37">
        <f t="shared" si="65"/>
        <v>0</v>
      </c>
    </row>
    <row r="207" spans="1:48" ht="12.75">
      <c r="A207" s="5" t="s">
        <v>153</v>
      </c>
      <c r="B207" s="5"/>
      <c r="C207" s="5" t="s">
        <v>525</v>
      </c>
      <c r="D207" s="5" t="s">
        <v>926</v>
      </c>
      <c r="E207" s="5" t="s">
        <v>1153</v>
      </c>
      <c r="F207" s="19">
        <v>13</v>
      </c>
      <c r="G207" s="19">
        <v>0</v>
      </c>
      <c r="H207" s="19">
        <f t="shared" si="44"/>
        <v>0</v>
      </c>
      <c r="I207" s="19">
        <f t="shared" si="45"/>
        <v>0</v>
      </c>
      <c r="J207" s="19">
        <f t="shared" si="46"/>
        <v>0</v>
      </c>
      <c r="K207" s="19">
        <v>0</v>
      </c>
      <c r="L207" s="19">
        <f t="shared" si="47"/>
        <v>0</v>
      </c>
      <c r="M207" s="33" t="s">
        <v>1177</v>
      </c>
      <c r="P207" s="37">
        <f t="shared" si="48"/>
        <v>0</v>
      </c>
      <c r="R207" s="37">
        <f t="shared" si="49"/>
        <v>0</v>
      </c>
      <c r="S207" s="37">
        <f t="shared" si="50"/>
        <v>0</v>
      </c>
      <c r="T207" s="37">
        <f t="shared" si="51"/>
        <v>0</v>
      </c>
      <c r="U207" s="37">
        <f t="shared" si="52"/>
        <v>0</v>
      </c>
      <c r="V207" s="37">
        <f t="shared" si="53"/>
        <v>0</v>
      </c>
      <c r="W207" s="37">
        <f t="shared" si="54"/>
        <v>0</v>
      </c>
      <c r="X207" s="37">
        <f t="shared" si="55"/>
        <v>0</v>
      </c>
      <c r="Y207" s="28"/>
      <c r="Z207" s="19">
        <f t="shared" si="56"/>
        <v>0</v>
      </c>
      <c r="AA207" s="19">
        <f t="shared" si="57"/>
        <v>0</v>
      </c>
      <c r="AB207" s="19">
        <f t="shared" si="58"/>
        <v>0</v>
      </c>
      <c r="AD207" s="37">
        <v>21</v>
      </c>
      <c r="AE207" s="37">
        <f t="shared" si="59"/>
        <v>0</v>
      </c>
      <c r="AF207" s="37">
        <f t="shared" si="60"/>
        <v>0</v>
      </c>
      <c r="AG207" s="33" t="s">
        <v>13</v>
      </c>
      <c r="AM207" s="37">
        <f t="shared" si="61"/>
        <v>0</v>
      </c>
      <c r="AN207" s="37">
        <f t="shared" si="62"/>
        <v>0</v>
      </c>
      <c r="AO207" s="38" t="s">
        <v>1210</v>
      </c>
      <c r="AP207" s="38" t="s">
        <v>1229</v>
      </c>
      <c r="AQ207" s="28" t="s">
        <v>1234</v>
      </c>
      <c r="AS207" s="37">
        <f t="shared" si="63"/>
        <v>0</v>
      </c>
      <c r="AT207" s="37">
        <f t="shared" si="64"/>
        <v>0</v>
      </c>
      <c r="AU207" s="37">
        <v>0</v>
      </c>
      <c r="AV207" s="37">
        <f t="shared" si="65"/>
        <v>0</v>
      </c>
    </row>
    <row r="208" spans="1:48" ht="12.75">
      <c r="A208" s="5" t="s">
        <v>154</v>
      </c>
      <c r="B208" s="5"/>
      <c r="C208" s="5" t="s">
        <v>526</v>
      </c>
      <c r="D208" s="5" t="s">
        <v>927</v>
      </c>
      <c r="E208" s="5" t="s">
        <v>1153</v>
      </c>
      <c r="F208" s="19">
        <v>6</v>
      </c>
      <c r="G208" s="19">
        <v>0</v>
      </c>
      <c r="H208" s="19">
        <f t="shared" si="44"/>
        <v>0</v>
      </c>
      <c r="I208" s="19">
        <f t="shared" si="45"/>
        <v>0</v>
      </c>
      <c r="J208" s="19">
        <f t="shared" si="46"/>
        <v>0</v>
      </c>
      <c r="K208" s="19">
        <v>0</v>
      </c>
      <c r="L208" s="19">
        <f t="shared" si="47"/>
        <v>0</v>
      </c>
      <c r="M208" s="33" t="s">
        <v>1177</v>
      </c>
      <c r="P208" s="37">
        <f t="shared" si="48"/>
        <v>0</v>
      </c>
      <c r="R208" s="37">
        <f t="shared" si="49"/>
        <v>0</v>
      </c>
      <c r="S208" s="37">
        <f t="shared" si="50"/>
        <v>0</v>
      </c>
      <c r="T208" s="37">
        <f t="shared" si="51"/>
        <v>0</v>
      </c>
      <c r="U208" s="37">
        <f t="shared" si="52"/>
        <v>0</v>
      </c>
      <c r="V208" s="37">
        <f t="shared" si="53"/>
        <v>0</v>
      </c>
      <c r="W208" s="37">
        <f t="shared" si="54"/>
        <v>0</v>
      </c>
      <c r="X208" s="37">
        <f t="shared" si="55"/>
        <v>0</v>
      </c>
      <c r="Y208" s="28"/>
      <c r="Z208" s="19">
        <f t="shared" si="56"/>
        <v>0</v>
      </c>
      <c r="AA208" s="19">
        <f t="shared" si="57"/>
        <v>0</v>
      </c>
      <c r="AB208" s="19">
        <f t="shared" si="58"/>
        <v>0</v>
      </c>
      <c r="AD208" s="37">
        <v>21</v>
      </c>
      <c r="AE208" s="37">
        <f t="shared" si="59"/>
        <v>0</v>
      </c>
      <c r="AF208" s="37">
        <f t="shared" si="60"/>
        <v>0</v>
      </c>
      <c r="AG208" s="33" t="s">
        <v>13</v>
      </c>
      <c r="AM208" s="37">
        <f t="shared" si="61"/>
        <v>0</v>
      </c>
      <c r="AN208" s="37">
        <f t="shared" si="62"/>
        <v>0</v>
      </c>
      <c r="AO208" s="38" t="s">
        <v>1210</v>
      </c>
      <c r="AP208" s="38" t="s">
        <v>1229</v>
      </c>
      <c r="AQ208" s="28" t="s">
        <v>1234</v>
      </c>
      <c r="AS208" s="37">
        <f t="shared" si="63"/>
        <v>0</v>
      </c>
      <c r="AT208" s="37">
        <f t="shared" si="64"/>
        <v>0</v>
      </c>
      <c r="AU208" s="37">
        <v>0</v>
      </c>
      <c r="AV208" s="37">
        <f t="shared" si="65"/>
        <v>0</v>
      </c>
    </row>
    <row r="209" spans="1:48" ht="12.75">
      <c r="A209" s="5" t="s">
        <v>155</v>
      </c>
      <c r="B209" s="5"/>
      <c r="C209" s="5" t="s">
        <v>527</v>
      </c>
      <c r="D209" s="5" t="s">
        <v>928</v>
      </c>
      <c r="E209" s="5" t="s">
        <v>1153</v>
      </c>
      <c r="F209" s="19">
        <v>2</v>
      </c>
      <c r="G209" s="19">
        <v>0</v>
      </c>
      <c r="H209" s="19">
        <f t="shared" si="44"/>
        <v>0</v>
      </c>
      <c r="I209" s="19">
        <f t="shared" si="45"/>
        <v>0</v>
      </c>
      <c r="J209" s="19">
        <f t="shared" si="46"/>
        <v>0</v>
      </c>
      <c r="K209" s="19">
        <v>0</v>
      </c>
      <c r="L209" s="19">
        <f t="shared" si="47"/>
        <v>0</v>
      </c>
      <c r="M209" s="33" t="s">
        <v>1177</v>
      </c>
      <c r="P209" s="37">
        <f t="shared" si="48"/>
        <v>0</v>
      </c>
      <c r="R209" s="37">
        <f t="shared" si="49"/>
        <v>0</v>
      </c>
      <c r="S209" s="37">
        <f t="shared" si="50"/>
        <v>0</v>
      </c>
      <c r="T209" s="37">
        <f t="shared" si="51"/>
        <v>0</v>
      </c>
      <c r="U209" s="37">
        <f t="shared" si="52"/>
        <v>0</v>
      </c>
      <c r="V209" s="37">
        <f t="shared" si="53"/>
        <v>0</v>
      </c>
      <c r="W209" s="37">
        <f t="shared" si="54"/>
        <v>0</v>
      </c>
      <c r="X209" s="37">
        <f t="shared" si="55"/>
        <v>0</v>
      </c>
      <c r="Y209" s="28"/>
      <c r="Z209" s="19">
        <f t="shared" si="56"/>
        <v>0</v>
      </c>
      <c r="AA209" s="19">
        <f t="shared" si="57"/>
        <v>0</v>
      </c>
      <c r="AB209" s="19">
        <f t="shared" si="58"/>
        <v>0</v>
      </c>
      <c r="AD209" s="37">
        <v>21</v>
      </c>
      <c r="AE209" s="37">
        <f t="shared" si="59"/>
        <v>0</v>
      </c>
      <c r="AF209" s="37">
        <f t="shared" si="60"/>
        <v>0</v>
      </c>
      <c r="AG209" s="33" t="s">
        <v>13</v>
      </c>
      <c r="AM209" s="37">
        <f t="shared" si="61"/>
        <v>0</v>
      </c>
      <c r="AN209" s="37">
        <f t="shared" si="62"/>
        <v>0</v>
      </c>
      <c r="AO209" s="38" t="s">
        <v>1210</v>
      </c>
      <c r="AP209" s="38" t="s">
        <v>1229</v>
      </c>
      <c r="AQ209" s="28" t="s">
        <v>1234</v>
      </c>
      <c r="AS209" s="37">
        <f t="shared" si="63"/>
        <v>0</v>
      </c>
      <c r="AT209" s="37">
        <f t="shared" si="64"/>
        <v>0</v>
      </c>
      <c r="AU209" s="37">
        <v>0</v>
      </c>
      <c r="AV209" s="37">
        <f t="shared" si="65"/>
        <v>0</v>
      </c>
    </row>
    <row r="210" spans="1:48" ht="12.75">
      <c r="A210" s="5" t="s">
        <v>156</v>
      </c>
      <c r="B210" s="5"/>
      <c r="C210" s="5" t="s">
        <v>528</v>
      </c>
      <c r="D210" s="5" t="s">
        <v>929</v>
      </c>
      <c r="E210" s="5" t="s">
        <v>1153</v>
      </c>
      <c r="F210" s="19">
        <v>3</v>
      </c>
      <c r="G210" s="19">
        <v>0</v>
      </c>
      <c r="H210" s="19">
        <f t="shared" si="44"/>
        <v>0</v>
      </c>
      <c r="I210" s="19">
        <f t="shared" si="45"/>
        <v>0</v>
      </c>
      <c r="J210" s="19">
        <f t="shared" si="46"/>
        <v>0</v>
      </c>
      <c r="K210" s="19">
        <v>0</v>
      </c>
      <c r="L210" s="19">
        <f t="shared" si="47"/>
        <v>0</v>
      </c>
      <c r="M210" s="33" t="s">
        <v>1177</v>
      </c>
      <c r="P210" s="37">
        <f t="shared" si="48"/>
        <v>0</v>
      </c>
      <c r="R210" s="37">
        <f t="shared" si="49"/>
        <v>0</v>
      </c>
      <c r="S210" s="37">
        <f t="shared" si="50"/>
        <v>0</v>
      </c>
      <c r="T210" s="37">
        <f t="shared" si="51"/>
        <v>0</v>
      </c>
      <c r="U210" s="37">
        <f t="shared" si="52"/>
        <v>0</v>
      </c>
      <c r="V210" s="37">
        <f t="shared" si="53"/>
        <v>0</v>
      </c>
      <c r="W210" s="37">
        <f t="shared" si="54"/>
        <v>0</v>
      </c>
      <c r="X210" s="37">
        <f t="shared" si="55"/>
        <v>0</v>
      </c>
      <c r="Y210" s="28"/>
      <c r="Z210" s="19">
        <f t="shared" si="56"/>
        <v>0</v>
      </c>
      <c r="AA210" s="19">
        <f t="shared" si="57"/>
        <v>0</v>
      </c>
      <c r="AB210" s="19">
        <f t="shared" si="58"/>
        <v>0</v>
      </c>
      <c r="AD210" s="37">
        <v>21</v>
      </c>
      <c r="AE210" s="37">
        <f t="shared" si="59"/>
        <v>0</v>
      </c>
      <c r="AF210" s="37">
        <f t="shared" si="60"/>
        <v>0</v>
      </c>
      <c r="AG210" s="33" t="s">
        <v>13</v>
      </c>
      <c r="AM210" s="37">
        <f t="shared" si="61"/>
        <v>0</v>
      </c>
      <c r="AN210" s="37">
        <f t="shared" si="62"/>
        <v>0</v>
      </c>
      <c r="AO210" s="38" t="s">
        <v>1210</v>
      </c>
      <c r="AP210" s="38" t="s">
        <v>1229</v>
      </c>
      <c r="AQ210" s="28" t="s">
        <v>1234</v>
      </c>
      <c r="AS210" s="37">
        <f t="shared" si="63"/>
        <v>0</v>
      </c>
      <c r="AT210" s="37">
        <f t="shared" si="64"/>
        <v>0</v>
      </c>
      <c r="AU210" s="37">
        <v>0</v>
      </c>
      <c r="AV210" s="37">
        <f t="shared" si="65"/>
        <v>0</v>
      </c>
    </row>
    <row r="211" spans="1:48" ht="12.75">
      <c r="A211" s="5" t="s">
        <v>157</v>
      </c>
      <c r="B211" s="5"/>
      <c r="C211" s="5" t="s">
        <v>529</v>
      </c>
      <c r="D211" s="5" t="s">
        <v>930</v>
      </c>
      <c r="E211" s="5" t="s">
        <v>1153</v>
      </c>
      <c r="F211" s="19">
        <v>1</v>
      </c>
      <c r="G211" s="19">
        <v>0</v>
      </c>
      <c r="H211" s="19">
        <f t="shared" si="44"/>
        <v>0</v>
      </c>
      <c r="I211" s="19">
        <f t="shared" si="45"/>
        <v>0</v>
      </c>
      <c r="J211" s="19">
        <f t="shared" si="46"/>
        <v>0</v>
      </c>
      <c r="K211" s="19">
        <v>0</v>
      </c>
      <c r="L211" s="19">
        <f t="shared" si="47"/>
        <v>0</v>
      </c>
      <c r="M211" s="33" t="s">
        <v>1177</v>
      </c>
      <c r="P211" s="37">
        <f t="shared" si="48"/>
        <v>0</v>
      </c>
      <c r="R211" s="37">
        <f t="shared" si="49"/>
        <v>0</v>
      </c>
      <c r="S211" s="37">
        <f t="shared" si="50"/>
        <v>0</v>
      </c>
      <c r="T211" s="37">
        <f t="shared" si="51"/>
        <v>0</v>
      </c>
      <c r="U211" s="37">
        <f t="shared" si="52"/>
        <v>0</v>
      </c>
      <c r="V211" s="37">
        <f t="shared" si="53"/>
        <v>0</v>
      </c>
      <c r="W211" s="37">
        <f t="shared" si="54"/>
        <v>0</v>
      </c>
      <c r="X211" s="37">
        <f t="shared" si="55"/>
        <v>0</v>
      </c>
      <c r="Y211" s="28"/>
      <c r="Z211" s="19">
        <f t="shared" si="56"/>
        <v>0</v>
      </c>
      <c r="AA211" s="19">
        <f t="shared" si="57"/>
        <v>0</v>
      </c>
      <c r="AB211" s="19">
        <f t="shared" si="58"/>
        <v>0</v>
      </c>
      <c r="AD211" s="37">
        <v>21</v>
      </c>
      <c r="AE211" s="37">
        <f t="shared" si="59"/>
        <v>0</v>
      </c>
      <c r="AF211" s="37">
        <f t="shared" si="60"/>
        <v>0</v>
      </c>
      <c r="AG211" s="33" t="s">
        <v>13</v>
      </c>
      <c r="AM211" s="37">
        <f t="shared" si="61"/>
        <v>0</v>
      </c>
      <c r="AN211" s="37">
        <f t="shared" si="62"/>
        <v>0</v>
      </c>
      <c r="AO211" s="38" t="s">
        <v>1210</v>
      </c>
      <c r="AP211" s="38" t="s">
        <v>1229</v>
      </c>
      <c r="AQ211" s="28" t="s">
        <v>1234</v>
      </c>
      <c r="AS211" s="37">
        <f t="shared" si="63"/>
        <v>0</v>
      </c>
      <c r="AT211" s="37">
        <f t="shared" si="64"/>
        <v>0</v>
      </c>
      <c r="AU211" s="37">
        <v>0</v>
      </c>
      <c r="AV211" s="37">
        <f t="shared" si="65"/>
        <v>0</v>
      </c>
    </row>
    <row r="212" spans="1:48" ht="12.75">
      <c r="A212" s="5" t="s">
        <v>158</v>
      </c>
      <c r="B212" s="5"/>
      <c r="C212" s="5" t="s">
        <v>530</v>
      </c>
      <c r="D212" s="5" t="s">
        <v>931</v>
      </c>
      <c r="E212" s="5" t="s">
        <v>1153</v>
      </c>
      <c r="F212" s="19">
        <v>1</v>
      </c>
      <c r="G212" s="19">
        <v>0</v>
      </c>
      <c r="H212" s="19">
        <f t="shared" si="44"/>
        <v>0</v>
      </c>
      <c r="I212" s="19">
        <f t="shared" si="45"/>
        <v>0</v>
      </c>
      <c r="J212" s="19">
        <f t="shared" si="46"/>
        <v>0</v>
      </c>
      <c r="K212" s="19">
        <v>0</v>
      </c>
      <c r="L212" s="19">
        <f t="shared" si="47"/>
        <v>0</v>
      </c>
      <c r="M212" s="33" t="s">
        <v>1177</v>
      </c>
      <c r="P212" s="37">
        <f t="shared" si="48"/>
        <v>0</v>
      </c>
      <c r="R212" s="37">
        <f t="shared" si="49"/>
        <v>0</v>
      </c>
      <c r="S212" s="37">
        <f t="shared" si="50"/>
        <v>0</v>
      </c>
      <c r="T212" s="37">
        <f t="shared" si="51"/>
        <v>0</v>
      </c>
      <c r="U212" s="37">
        <f t="shared" si="52"/>
        <v>0</v>
      </c>
      <c r="V212" s="37">
        <f t="shared" si="53"/>
        <v>0</v>
      </c>
      <c r="W212" s="37">
        <f t="shared" si="54"/>
        <v>0</v>
      </c>
      <c r="X212" s="37">
        <f t="shared" si="55"/>
        <v>0</v>
      </c>
      <c r="Y212" s="28"/>
      <c r="Z212" s="19">
        <f t="shared" si="56"/>
        <v>0</v>
      </c>
      <c r="AA212" s="19">
        <f t="shared" si="57"/>
        <v>0</v>
      </c>
      <c r="AB212" s="19">
        <f t="shared" si="58"/>
        <v>0</v>
      </c>
      <c r="AD212" s="37">
        <v>21</v>
      </c>
      <c r="AE212" s="37">
        <f t="shared" si="59"/>
        <v>0</v>
      </c>
      <c r="AF212" s="37">
        <f t="shared" si="60"/>
        <v>0</v>
      </c>
      <c r="AG212" s="33" t="s">
        <v>13</v>
      </c>
      <c r="AM212" s="37">
        <f t="shared" si="61"/>
        <v>0</v>
      </c>
      <c r="AN212" s="37">
        <f t="shared" si="62"/>
        <v>0</v>
      </c>
      <c r="AO212" s="38" t="s">
        <v>1210</v>
      </c>
      <c r="AP212" s="38" t="s">
        <v>1229</v>
      </c>
      <c r="AQ212" s="28" t="s">
        <v>1234</v>
      </c>
      <c r="AS212" s="37">
        <f t="shared" si="63"/>
        <v>0</v>
      </c>
      <c r="AT212" s="37">
        <f t="shared" si="64"/>
        <v>0</v>
      </c>
      <c r="AU212" s="37">
        <v>0</v>
      </c>
      <c r="AV212" s="37">
        <f t="shared" si="65"/>
        <v>0</v>
      </c>
    </row>
    <row r="213" spans="1:48" ht="12.75">
      <c r="A213" s="5" t="s">
        <v>159</v>
      </c>
      <c r="B213" s="5"/>
      <c r="C213" s="5" t="s">
        <v>531</v>
      </c>
      <c r="D213" s="5" t="s">
        <v>932</v>
      </c>
      <c r="E213" s="5" t="s">
        <v>1153</v>
      </c>
      <c r="F213" s="19">
        <v>1</v>
      </c>
      <c r="G213" s="19">
        <v>0</v>
      </c>
      <c r="H213" s="19">
        <f t="shared" si="44"/>
        <v>0</v>
      </c>
      <c r="I213" s="19">
        <f t="shared" si="45"/>
        <v>0</v>
      </c>
      <c r="J213" s="19">
        <f t="shared" si="46"/>
        <v>0</v>
      </c>
      <c r="K213" s="19">
        <v>0</v>
      </c>
      <c r="L213" s="19">
        <f t="shared" si="47"/>
        <v>0</v>
      </c>
      <c r="M213" s="33" t="s">
        <v>1177</v>
      </c>
      <c r="P213" s="37">
        <f t="shared" si="48"/>
        <v>0</v>
      </c>
      <c r="R213" s="37">
        <f t="shared" si="49"/>
        <v>0</v>
      </c>
      <c r="S213" s="37">
        <f t="shared" si="50"/>
        <v>0</v>
      </c>
      <c r="T213" s="37">
        <f t="shared" si="51"/>
        <v>0</v>
      </c>
      <c r="U213" s="37">
        <f t="shared" si="52"/>
        <v>0</v>
      </c>
      <c r="V213" s="37">
        <f t="shared" si="53"/>
        <v>0</v>
      </c>
      <c r="W213" s="37">
        <f t="shared" si="54"/>
        <v>0</v>
      </c>
      <c r="X213" s="37">
        <f t="shared" si="55"/>
        <v>0</v>
      </c>
      <c r="Y213" s="28"/>
      <c r="Z213" s="19">
        <f t="shared" si="56"/>
        <v>0</v>
      </c>
      <c r="AA213" s="19">
        <f t="shared" si="57"/>
        <v>0</v>
      </c>
      <c r="AB213" s="19">
        <f t="shared" si="58"/>
        <v>0</v>
      </c>
      <c r="AD213" s="37">
        <v>21</v>
      </c>
      <c r="AE213" s="37">
        <f t="shared" si="59"/>
        <v>0</v>
      </c>
      <c r="AF213" s="37">
        <f t="shared" si="60"/>
        <v>0</v>
      </c>
      <c r="AG213" s="33" t="s">
        <v>13</v>
      </c>
      <c r="AM213" s="37">
        <f t="shared" si="61"/>
        <v>0</v>
      </c>
      <c r="AN213" s="37">
        <f t="shared" si="62"/>
        <v>0</v>
      </c>
      <c r="AO213" s="38" t="s">
        <v>1210</v>
      </c>
      <c r="AP213" s="38" t="s">
        <v>1229</v>
      </c>
      <c r="AQ213" s="28" t="s">
        <v>1234</v>
      </c>
      <c r="AS213" s="37">
        <f t="shared" si="63"/>
        <v>0</v>
      </c>
      <c r="AT213" s="37">
        <f t="shared" si="64"/>
        <v>0</v>
      </c>
      <c r="AU213" s="37">
        <v>0</v>
      </c>
      <c r="AV213" s="37">
        <f t="shared" si="65"/>
        <v>0</v>
      </c>
    </row>
    <row r="214" spans="1:48" ht="12.75">
      <c r="A214" s="5" t="s">
        <v>160</v>
      </c>
      <c r="B214" s="5"/>
      <c r="C214" s="5" t="s">
        <v>532</v>
      </c>
      <c r="D214" s="5" t="s">
        <v>933</v>
      </c>
      <c r="E214" s="5" t="s">
        <v>1153</v>
      </c>
      <c r="F214" s="19">
        <v>1</v>
      </c>
      <c r="G214" s="19">
        <v>0</v>
      </c>
      <c r="H214" s="19">
        <f t="shared" si="44"/>
        <v>0</v>
      </c>
      <c r="I214" s="19">
        <f t="shared" si="45"/>
        <v>0</v>
      </c>
      <c r="J214" s="19">
        <f t="shared" si="46"/>
        <v>0</v>
      </c>
      <c r="K214" s="19">
        <v>0</v>
      </c>
      <c r="L214" s="19">
        <f t="shared" si="47"/>
        <v>0</v>
      </c>
      <c r="M214" s="33" t="s">
        <v>1177</v>
      </c>
      <c r="P214" s="37">
        <f t="shared" si="48"/>
        <v>0</v>
      </c>
      <c r="R214" s="37">
        <f t="shared" si="49"/>
        <v>0</v>
      </c>
      <c r="S214" s="37">
        <f t="shared" si="50"/>
        <v>0</v>
      </c>
      <c r="T214" s="37">
        <f t="shared" si="51"/>
        <v>0</v>
      </c>
      <c r="U214" s="37">
        <f t="shared" si="52"/>
        <v>0</v>
      </c>
      <c r="V214" s="37">
        <f t="shared" si="53"/>
        <v>0</v>
      </c>
      <c r="W214" s="37">
        <f t="shared" si="54"/>
        <v>0</v>
      </c>
      <c r="X214" s="37">
        <f t="shared" si="55"/>
        <v>0</v>
      </c>
      <c r="Y214" s="28"/>
      <c r="Z214" s="19">
        <f t="shared" si="56"/>
        <v>0</v>
      </c>
      <c r="AA214" s="19">
        <f t="shared" si="57"/>
        <v>0</v>
      </c>
      <c r="AB214" s="19">
        <f t="shared" si="58"/>
        <v>0</v>
      </c>
      <c r="AD214" s="37">
        <v>21</v>
      </c>
      <c r="AE214" s="37">
        <f t="shared" si="59"/>
        <v>0</v>
      </c>
      <c r="AF214" s="37">
        <f t="shared" si="60"/>
        <v>0</v>
      </c>
      <c r="AG214" s="33" t="s">
        <v>13</v>
      </c>
      <c r="AM214" s="37">
        <f t="shared" si="61"/>
        <v>0</v>
      </c>
      <c r="AN214" s="37">
        <f t="shared" si="62"/>
        <v>0</v>
      </c>
      <c r="AO214" s="38" t="s">
        <v>1210</v>
      </c>
      <c r="AP214" s="38" t="s">
        <v>1229</v>
      </c>
      <c r="AQ214" s="28" t="s">
        <v>1234</v>
      </c>
      <c r="AS214" s="37">
        <f t="shared" si="63"/>
        <v>0</v>
      </c>
      <c r="AT214" s="37">
        <f t="shared" si="64"/>
        <v>0</v>
      </c>
      <c r="AU214" s="37">
        <v>0</v>
      </c>
      <c r="AV214" s="37">
        <f t="shared" si="65"/>
        <v>0</v>
      </c>
    </row>
    <row r="215" spans="1:48" ht="12.75">
      <c r="A215" s="5" t="s">
        <v>161</v>
      </c>
      <c r="B215" s="5"/>
      <c r="C215" s="5" t="s">
        <v>533</v>
      </c>
      <c r="D215" s="5" t="s">
        <v>934</v>
      </c>
      <c r="E215" s="5" t="s">
        <v>1153</v>
      </c>
      <c r="F215" s="19">
        <v>1</v>
      </c>
      <c r="G215" s="19">
        <v>0</v>
      </c>
      <c r="H215" s="19">
        <f aca="true" t="shared" si="66" ref="H215:H231">F215*AE215</f>
        <v>0</v>
      </c>
      <c r="I215" s="19">
        <f aca="true" t="shared" si="67" ref="I215:I231">J215-H215</f>
        <v>0</v>
      </c>
      <c r="J215" s="19">
        <f aca="true" t="shared" si="68" ref="J215:J231">F215*G215</f>
        <v>0</v>
      </c>
      <c r="K215" s="19">
        <v>0</v>
      </c>
      <c r="L215" s="19">
        <f aca="true" t="shared" si="69" ref="L215:L231">F215*K215</f>
        <v>0</v>
      </c>
      <c r="M215" s="33" t="s">
        <v>1177</v>
      </c>
      <c r="P215" s="37">
        <f aca="true" t="shared" si="70" ref="P215:P231">IF(AG215="5",J215,0)</f>
        <v>0</v>
      </c>
      <c r="R215" s="37">
        <f aca="true" t="shared" si="71" ref="R215:R231">IF(AG215="1",H215,0)</f>
        <v>0</v>
      </c>
      <c r="S215" s="37">
        <f aca="true" t="shared" si="72" ref="S215:S231">IF(AG215="1",I215,0)</f>
        <v>0</v>
      </c>
      <c r="T215" s="37">
        <f aca="true" t="shared" si="73" ref="T215:T231">IF(AG215="7",H215,0)</f>
        <v>0</v>
      </c>
      <c r="U215" s="37">
        <f aca="true" t="shared" si="74" ref="U215:U231">IF(AG215="7",I215,0)</f>
        <v>0</v>
      </c>
      <c r="V215" s="37">
        <f aca="true" t="shared" si="75" ref="V215:V231">IF(AG215="2",H215,0)</f>
        <v>0</v>
      </c>
      <c r="W215" s="37">
        <f aca="true" t="shared" si="76" ref="W215:W231">IF(AG215="2",I215,0)</f>
        <v>0</v>
      </c>
      <c r="X215" s="37">
        <f aca="true" t="shared" si="77" ref="X215:X231">IF(AG215="0",J215,0)</f>
        <v>0</v>
      </c>
      <c r="Y215" s="28"/>
      <c r="Z215" s="19">
        <f aca="true" t="shared" si="78" ref="Z215:Z231">IF(AD215=0,J215,0)</f>
        <v>0</v>
      </c>
      <c r="AA215" s="19">
        <f aca="true" t="shared" si="79" ref="AA215:AA231">IF(AD215=15,J215,0)</f>
        <v>0</v>
      </c>
      <c r="AB215" s="19">
        <f aca="true" t="shared" si="80" ref="AB215:AB231">IF(AD215=21,J215,0)</f>
        <v>0</v>
      </c>
      <c r="AD215" s="37">
        <v>21</v>
      </c>
      <c r="AE215" s="37">
        <f aca="true" t="shared" si="81" ref="AE215:AE231">G215*0</f>
        <v>0</v>
      </c>
      <c r="AF215" s="37">
        <f aca="true" t="shared" si="82" ref="AF215:AF231">G215*(1-0)</f>
        <v>0</v>
      </c>
      <c r="AG215" s="33" t="s">
        <v>13</v>
      </c>
      <c r="AM215" s="37">
        <f aca="true" t="shared" si="83" ref="AM215:AM231">F215*AE215</f>
        <v>0</v>
      </c>
      <c r="AN215" s="37">
        <f aca="true" t="shared" si="84" ref="AN215:AN231">F215*AF215</f>
        <v>0</v>
      </c>
      <c r="AO215" s="38" t="s">
        <v>1210</v>
      </c>
      <c r="AP215" s="38" t="s">
        <v>1229</v>
      </c>
      <c r="AQ215" s="28" t="s">
        <v>1234</v>
      </c>
      <c r="AS215" s="37">
        <f aca="true" t="shared" si="85" ref="AS215:AS231">AM215+AN215</f>
        <v>0</v>
      </c>
      <c r="AT215" s="37">
        <f aca="true" t="shared" si="86" ref="AT215:AT231">G215/(100-AU215)*100</f>
        <v>0</v>
      </c>
      <c r="AU215" s="37">
        <v>0</v>
      </c>
      <c r="AV215" s="37">
        <f aca="true" t="shared" si="87" ref="AV215:AV231">L215</f>
        <v>0</v>
      </c>
    </row>
    <row r="216" spans="1:48" ht="12.75">
      <c r="A216" s="5" t="s">
        <v>162</v>
      </c>
      <c r="B216" s="5"/>
      <c r="C216" s="5" t="s">
        <v>534</v>
      </c>
      <c r="D216" s="5" t="s">
        <v>935</v>
      </c>
      <c r="E216" s="5" t="s">
        <v>1153</v>
      </c>
      <c r="F216" s="19">
        <v>2</v>
      </c>
      <c r="G216" s="19">
        <v>0</v>
      </c>
      <c r="H216" s="19">
        <f t="shared" si="66"/>
        <v>0</v>
      </c>
      <c r="I216" s="19">
        <f t="shared" si="67"/>
        <v>0</v>
      </c>
      <c r="J216" s="19">
        <f t="shared" si="68"/>
        <v>0</v>
      </c>
      <c r="K216" s="19">
        <v>0</v>
      </c>
      <c r="L216" s="19">
        <f t="shared" si="69"/>
        <v>0</v>
      </c>
      <c r="M216" s="33" t="s">
        <v>1177</v>
      </c>
      <c r="P216" s="37">
        <f t="shared" si="70"/>
        <v>0</v>
      </c>
      <c r="R216" s="37">
        <f t="shared" si="71"/>
        <v>0</v>
      </c>
      <c r="S216" s="37">
        <f t="shared" si="72"/>
        <v>0</v>
      </c>
      <c r="T216" s="37">
        <f t="shared" si="73"/>
        <v>0</v>
      </c>
      <c r="U216" s="37">
        <f t="shared" si="74"/>
        <v>0</v>
      </c>
      <c r="V216" s="37">
        <f t="shared" si="75"/>
        <v>0</v>
      </c>
      <c r="W216" s="37">
        <f t="shared" si="76"/>
        <v>0</v>
      </c>
      <c r="X216" s="37">
        <f t="shared" si="77"/>
        <v>0</v>
      </c>
      <c r="Y216" s="28"/>
      <c r="Z216" s="19">
        <f t="shared" si="78"/>
        <v>0</v>
      </c>
      <c r="AA216" s="19">
        <f t="shared" si="79"/>
        <v>0</v>
      </c>
      <c r="AB216" s="19">
        <f t="shared" si="80"/>
        <v>0</v>
      </c>
      <c r="AD216" s="37">
        <v>21</v>
      </c>
      <c r="AE216" s="37">
        <f t="shared" si="81"/>
        <v>0</v>
      </c>
      <c r="AF216" s="37">
        <f t="shared" si="82"/>
        <v>0</v>
      </c>
      <c r="AG216" s="33" t="s">
        <v>13</v>
      </c>
      <c r="AM216" s="37">
        <f t="shared" si="83"/>
        <v>0</v>
      </c>
      <c r="AN216" s="37">
        <f t="shared" si="84"/>
        <v>0</v>
      </c>
      <c r="AO216" s="38" t="s">
        <v>1210</v>
      </c>
      <c r="AP216" s="38" t="s">
        <v>1229</v>
      </c>
      <c r="AQ216" s="28" t="s">
        <v>1234</v>
      </c>
      <c r="AS216" s="37">
        <f t="shared" si="85"/>
        <v>0</v>
      </c>
      <c r="AT216" s="37">
        <f t="shared" si="86"/>
        <v>0</v>
      </c>
      <c r="AU216" s="37">
        <v>0</v>
      </c>
      <c r="AV216" s="37">
        <f t="shared" si="87"/>
        <v>0</v>
      </c>
    </row>
    <row r="217" spans="1:48" ht="12.75">
      <c r="A217" s="5" t="s">
        <v>163</v>
      </c>
      <c r="B217" s="5"/>
      <c r="C217" s="5" t="s">
        <v>535</v>
      </c>
      <c r="D217" s="5" t="s">
        <v>936</v>
      </c>
      <c r="E217" s="5" t="s">
        <v>1153</v>
      </c>
      <c r="F217" s="19">
        <v>1</v>
      </c>
      <c r="G217" s="19">
        <v>0</v>
      </c>
      <c r="H217" s="19">
        <f t="shared" si="66"/>
        <v>0</v>
      </c>
      <c r="I217" s="19">
        <f t="shared" si="67"/>
        <v>0</v>
      </c>
      <c r="J217" s="19">
        <f t="shared" si="68"/>
        <v>0</v>
      </c>
      <c r="K217" s="19">
        <v>0</v>
      </c>
      <c r="L217" s="19">
        <f t="shared" si="69"/>
        <v>0</v>
      </c>
      <c r="M217" s="33" t="s">
        <v>1177</v>
      </c>
      <c r="P217" s="37">
        <f t="shared" si="70"/>
        <v>0</v>
      </c>
      <c r="R217" s="37">
        <f t="shared" si="71"/>
        <v>0</v>
      </c>
      <c r="S217" s="37">
        <f t="shared" si="72"/>
        <v>0</v>
      </c>
      <c r="T217" s="37">
        <f t="shared" si="73"/>
        <v>0</v>
      </c>
      <c r="U217" s="37">
        <f t="shared" si="74"/>
        <v>0</v>
      </c>
      <c r="V217" s="37">
        <f t="shared" si="75"/>
        <v>0</v>
      </c>
      <c r="W217" s="37">
        <f t="shared" si="76"/>
        <v>0</v>
      </c>
      <c r="X217" s="37">
        <f t="shared" si="77"/>
        <v>0</v>
      </c>
      <c r="Y217" s="28"/>
      <c r="Z217" s="19">
        <f t="shared" si="78"/>
        <v>0</v>
      </c>
      <c r="AA217" s="19">
        <f t="shared" si="79"/>
        <v>0</v>
      </c>
      <c r="AB217" s="19">
        <f t="shared" si="80"/>
        <v>0</v>
      </c>
      <c r="AD217" s="37">
        <v>21</v>
      </c>
      <c r="AE217" s="37">
        <f t="shared" si="81"/>
        <v>0</v>
      </c>
      <c r="AF217" s="37">
        <f t="shared" si="82"/>
        <v>0</v>
      </c>
      <c r="AG217" s="33" t="s">
        <v>13</v>
      </c>
      <c r="AM217" s="37">
        <f t="shared" si="83"/>
        <v>0</v>
      </c>
      <c r="AN217" s="37">
        <f t="shared" si="84"/>
        <v>0</v>
      </c>
      <c r="AO217" s="38" t="s">
        <v>1210</v>
      </c>
      <c r="AP217" s="38" t="s">
        <v>1229</v>
      </c>
      <c r="AQ217" s="28" t="s">
        <v>1234</v>
      </c>
      <c r="AS217" s="37">
        <f t="shared" si="85"/>
        <v>0</v>
      </c>
      <c r="AT217" s="37">
        <f t="shared" si="86"/>
        <v>0</v>
      </c>
      <c r="AU217" s="37">
        <v>0</v>
      </c>
      <c r="AV217" s="37">
        <f t="shared" si="87"/>
        <v>0</v>
      </c>
    </row>
    <row r="218" spans="1:48" ht="12.75">
      <c r="A218" s="5" t="s">
        <v>164</v>
      </c>
      <c r="B218" s="5"/>
      <c r="C218" s="5" t="s">
        <v>536</v>
      </c>
      <c r="D218" s="5" t="s">
        <v>937</v>
      </c>
      <c r="E218" s="5" t="s">
        <v>1153</v>
      </c>
      <c r="F218" s="19">
        <v>1</v>
      </c>
      <c r="G218" s="19">
        <v>0</v>
      </c>
      <c r="H218" s="19">
        <f t="shared" si="66"/>
        <v>0</v>
      </c>
      <c r="I218" s="19">
        <f t="shared" si="67"/>
        <v>0</v>
      </c>
      <c r="J218" s="19">
        <f t="shared" si="68"/>
        <v>0</v>
      </c>
      <c r="K218" s="19">
        <v>0</v>
      </c>
      <c r="L218" s="19">
        <f t="shared" si="69"/>
        <v>0</v>
      </c>
      <c r="M218" s="33" t="s">
        <v>1177</v>
      </c>
      <c r="P218" s="37">
        <f t="shared" si="70"/>
        <v>0</v>
      </c>
      <c r="R218" s="37">
        <f t="shared" si="71"/>
        <v>0</v>
      </c>
      <c r="S218" s="37">
        <f t="shared" si="72"/>
        <v>0</v>
      </c>
      <c r="T218" s="37">
        <f t="shared" si="73"/>
        <v>0</v>
      </c>
      <c r="U218" s="37">
        <f t="shared" si="74"/>
        <v>0</v>
      </c>
      <c r="V218" s="37">
        <f t="shared" si="75"/>
        <v>0</v>
      </c>
      <c r="W218" s="37">
        <f t="shared" si="76"/>
        <v>0</v>
      </c>
      <c r="X218" s="37">
        <f t="shared" si="77"/>
        <v>0</v>
      </c>
      <c r="Y218" s="28"/>
      <c r="Z218" s="19">
        <f t="shared" si="78"/>
        <v>0</v>
      </c>
      <c r="AA218" s="19">
        <f t="shared" si="79"/>
        <v>0</v>
      </c>
      <c r="AB218" s="19">
        <f t="shared" si="80"/>
        <v>0</v>
      </c>
      <c r="AD218" s="37">
        <v>21</v>
      </c>
      <c r="AE218" s="37">
        <f t="shared" si="81"/>
        <v>0</v>
      </c>
      <c r="AF218" s="37">
        <f t="shared" si="82"/>
        <v>0</v>
      </c>
      <c r="AG218" s="33" t="s">
        <v>13</v>
      </c>
      <c r="AM218" s="37">
        <f t="shared" si="83"/>
        <v>0</v>
      </c>
      <c r="AN218" s="37">
        <f t="shared" si="84"/>
        <v>0</v>
      </c>
      <c r="AO218" s="38" t="s">
        <v>1210</v>
      </c>
      <c r="AP218" s="38" t="s">
        <v>1229</v>
      </c>
      <c r="AQ218" s="28" t="s">
        <v>1234</v>
      </c>
      <c r="AS218" s="37">
        <f t="shared" si="85"/>
        <v>0</v>
      </c>
      <c r="AT218" s="37">
        <f t="shared" si="86"/>
        <v>0</v>
      </c>
      <c r="AU218" s="37">
        <v>0</v>
      </c>
      <c r="AV218" s="37">
        <f t="shared" si="87"/>
        <v>0</v>
      </c>
    </row>
    <row r="219" spans="1:48" ht="12.75">
      <c r="A219" s="5" t="s">
        <v>165</v>
      </c>
      <c r="B219" s="5"/>
      <c r="C219" s="5" t="s">
        <v>537</v>
      </c>
      <c r="D219" s="5" t="s">
        <v>938</v>
      </c>
      <c r="E219" s="5" t="s">
        <v>1153</v>
      </c>
      <c r="F219" s="19">
        <v>1</v>
      </c>
      <c r="G219" s="19">
        <v>0</v>
      </c>
      <c r="H219" s="19">
        <f t="shared" si="66"/>
        <v>0</v>
      </c>
      <c r="I219" s="19">
        <f t="shared" si="67"/>
        <v>0</v>
      </c>
      <c r="J219" s="19">
        <f t="shared" si="68"/>
        <v>0</v>
      </c>
      <c r="K219" s="19">
        <v>0</v>
      </c>
      <c r="L219" s="19">
        <f t="shared" si="69"/>
        <v>0</v>
      </c>
      <c r="M219" s="33" t="s">
        <v>1177</v>
      </c>
      <c r="P219" s="37">
        <f t="shared" si="70"/>
        <v>0</v>
      </c>
      <c r="R219" s="37">
        <f t="shared" si="71"/>
        <v>0</v>
      </c>
      <c r="S219" s="37">
        <f t="shared" si="72"/>
        <v>0</v>
      </c>
      <c r="T219" s="37">
        <f t="shared" si="73"/>
        <v>0</v>
      </c>
      <c r="U219" s="37">
        <f t="shared" si="74"/>
        <v>0</v>
      </c>
      <c r="V219" s="37">
        <f t="shared" si="75"/>
        <v>0</v>
      </c>
      <c r="W219" s="37">
        <f t="shared" si="76"/>
        <v>0</v>
      </c>
      <c r="X219" s="37">
        <f t="shared" si="77"/>
        <v>0</v>
      </c>
      <c r="Y219" s="28"/>
      <c r="Z219" s="19">
        <f t="shared" si="78"/>
        <v>0</v>
      </c>
      <c r="AA219" s="19">
        <f t="shared" si="79"/>
        <v>0</v>
      </c>
      <c r="AB219" s="19">
        <f t="shared" si="80"/>
        <v>0</v>
      </c>
      <c r="AD219" s="37">
        <v>21</v>
      </c>
      <c r="AE219" s="37">
        <f t="shared" si="81"/>
        <v>0</v>
      </c>
      <c r="AF219" s="37">
        <f t="shared" si="82"/>
        <v>0</v>
      </c>
      <c r="AG219" s="33" t="s">
        <v>13</v>
      </c>
      <c r="AM219" s="37">
        <f t="shared" si="83"/>
        <v>0</v>
      </c>
      <c r="AN219" s="37">
        <f t="shared" si="84"/>
        <v>0</v>
      </c>
      <c r="AO219" s="38" t="s">
        <v>1210</v>
      </c>
      <c r="AP219" s="38" t="s">
        <v>1229</v>
      </c>
      <c r="AQ219" s="28" t="s">
        <v>1234</v>
      </c>
      <c r="AS219" s="37">
        <f t="shared" si="85"/>
        <v>0</v>
      </c>
      <c r="AT219" s="37">
        <f t="shared" si="86"/>
        <v>0</v>
      </c>
      <c r="AU219" s="37">
        <v>0</v>
      </c>
      <c r="AV219" s="37">
        <f t="shared" si="87"/>
        <v>0</v>
      </c>
    </row>
    <row r="220" spans="1:48" ht="12.75">
      <c r="A220" s="5" t="s">
        <v>166</v>
      </c>
      <c r="B220" s="5"/>
      <c r="C220" s="5" t="s">
        <v>538</v>
      </c>
      <c r="D220" s="5" t="s">
        <v>939</v>
      </c>
      <c r="E220" s="5" t="s">
        <v>1154</v>
      </c>
      <c r="F220" s="19">
        <v>29.25</v>
      </c>
      <c r="G220" s="19">
        <v>0</v>
      </c>
      <c r="H220" s="19">
        <f t="shared" si="66"/>
        <v>0</v>
      </c>
      <c r="I220" s="19">
        <f t="shared" si="67"/>
        <v>0</v>
      </c>
      <c r="J220" s="19">
        <f t="shared" si="68"/>
        <v>0</v>
      </c>
      <c r="K220" s="19">
        <v>0</v>
      </c>
      <c r="L220" s="19">
        <f t="shared" si="69"/>
        <v>0</v>
      </c>
      <c r="M220" s="33" t="s">
        <v>1177</v>
      </c>
      <c r="P220" s="37">
        <f t="shared" si="70"/>
        <v>0</v>
      </c>
      <c r="R220" s="37">
        <f t="shared" si="71"/>
        <v>0</v>
      </c>
      <c r="S220" s="37">
        <f t="shared" si="72"/>
        <v>0</v>
      </c>
      <c r="T220" s="37">
        <f t="shared" si="73"/>
        <v>0</v>
      </c>
      <c r="U220" s="37">
        <f t="shared" si="74"/>
        <v>0</v>
      </c>
      <c r="V220" s="37">
        <f t="shared" si="75"/>
        <v>0</v>
      </c>
      <c r="W220" s="37">
        <f t="shared" si="76"/>
        <v>0</v>
      </c>
      <c r="X220" s="37">
        <f t="shared" si="77"/>
        <v>0</v>
      </c>
      <c r="Y220" s="28"/>
      <c r="Z220" s="19">
        <f t="shared" si="78"/>
        <v>0</v>
      </c>
      <c r="AA220" s="19">
        <f t="shared" si="79"/>
        <v>0</v>
      </c>
      <c r="AB220" s="19">
        <f t="shared" si="80"/>
        <v>0</v>
      </c>
      <c r="AD220" s="37">
        <v>21</v>
      </c>
      <c r="AE220" s="37">
        <f t="shared" si="81"/>
        <v>0</v>
      </c>
      <c r="AF220" s="37">
        <f t="shared" si="82"/>
        <v>0</v>
      </c>
      <c r="AG220" s="33" t="s">
        <v>13</v>
      </c>
      <c r="AM220" s="37">
        <f t="shared" si="83"/>
        <v>0</v>
      </c>
      <c r="AN220" s="37">
        <f t="shared" si="84"/>
        <v>0</v>
      </c>
      <c r="AO220" s="38" t="s">
        <v>1210</v>
      </c>
      <c r="AP220" s="38" t="s">
        <v>1229</v>
      </c>
      <c r="AQ220" s="28" t="s">
        <v>1234</v>
      </c>
      <c r="AS220" s="37">
        <f t="shared" si="85"/>
        <v>0</v>
      </c>
      <c r="AT220" s="37">
        <f t="shared" si="86"/>
        <v>0</v>
      </c>
      <c r="AU220" s="37">
        <v>0</v>
      </c>
      <c r="AV220" s="37">
        <f t="shared" si="87"/>
        <v>0</v>
      </c>
    </row>
    <row r="221" spans="1:48" ht="12.75">
      <c r="A221" s="5" t="s">
        <v>167</v>
      </c>
      <c r="B221" s="5"/>
      <c r="C221" s="5" t="s">
        <v>539</v>
      </c>
      <c r="D221" s="5" t="s">
        <v>895</v>
      </c>
      <c r="E221" s="5" t="s">
        <v>1155</v>
      </c>
      <c r="F221" s="19">
        <v>15</v>
      </c>
      <c r="G221" s="19">
        <v>0</v>
      </c>
      <c r="H221" s="19">
        <f t="shared" si="66"/>
        <v>0</v>
      </c>
      <c r="I221" s="19">
        <f t="shared" si="67"/>
        <v>0</v>
      </c>
      <c r="J221" s="19">
        <f t="shared" si="68"/>
        <v>0</v>
      </c>
      <c r="K221" s="19">
        <v>0</v>
      </c>
      <c r="L221" s="19">
        <f t="shared" si="69"/>
        <v>0</v>
      </c>
      <c r="M221" s="33" t="s">
        <v>1177</v>
      </c>
      <c r="P221" s="37">
        <f t="shared" si="70"/>
        <v>0</v>
      </c>
      <c r="R221" s="37">
        <f t="shared" si="71"/>
        <v>0</v>
      </c>
      <c r="S221" s="37">
        <f t="shared" si="72"/>
        <v>0</v>
      </c>
      <c r="T221" s="37">
        <f t="shared" si="73"/>
        <v>0</v>
      </c>
      <c r="U221" s="37">
        <f t="shared" si="74"/>
        <v>0</v>
      </c>
      <c r="V221" s="37">
        <f t="shared" si="75"/>
        <v>0</v>
      </c>
      <c r="W221" s="37">
        <f t="shared" si="76"/>
        <v>0</v>
      </c>
      <c r="X221" s="37">
        <f t="shared" si="77"/>
        <v>0</v>
      </c>
      <c r="Y221" s="28"/>
      <c r="Z221" s="19">
        <f t="shared" si="78"/>
        <v>0</v>
      </c>
      <c r="AA221" s="19">
        <f t="shared" si="79"/>
        <v>0</v>
      </c>
      <c r="AB221" s="19">
        <f t="shared" si="80"/>
        <v>0</v>
      </c>
      <c r="AD221" s="37">
        <v>21</v>
      </c>
      <c r="AE221" s="37">
        <f t="shared" si="81"/>
        <v>0</v>
      </c>
      <c r="AF221" s="37">
        <f t="shared" si="82"/>
        <v>0</v>
      </c>
      <c r="AG221" s="33" t="s">
        <v>13</v>
      </c>
      <c r="AM221" s="37">
        <f t="shared" si="83"/>
        <v>0</v>
      </c>
      <c r="AN221" s="37">
        <f t="shared" si="84"/>
        <v>0</v>
      </c>
      <c r="AO221" s="38" t="s">
        <v>1210</v>
      </c>
      <c r="AP221" s="38" t="s">
        <v>1229</v>
      </c>
      <c r="AQ221" s="28" t="s">
        <v>1234</v>
      </c>
      <c r="AS221" s="37">
        <f t="shared" si="85"/>
        <v>0</v>
      </c>
      <c r="AT221" s="37">
        <f t="shared" si="86"/>
        <v>0</v>
      </c>
      <c r="AU221" s="37">
        <v>0</v>
      </c>
      <c r="AV221" s="37">
        <f t="shared" si="87"/>
        <v>0</v>
      </c>
    </row>
    <row r="222" spans="1:48" ht="12.75">
      <c r="A222" s="5" t="s">
        <v>168</v>
      </c>
      <c r="B222" s="5"/>
      <c r="C222" s="5" t="s">
        <v>540</v>
      </c>
      <c r="D222" s="5" t="s">
        <v>940</v>
      </c>
      <c r="E222" s="5" t="s">
        <v>1153</v>
      </c>
      <c r="F222" s="19">
        <v>1</v>
      </c>
      <c r="G222" s="19">
        <v>0</v>
      </c>
      <c r="H222" s="19">
        <f t="shared" si="66"/>
        <v>0</v>
      </c>
      <c r="I222" s="19">
        <f t="shared" si="67"/>
        <v>0</v>
      </c>
      <c r="J222" s="19">
        <f t="shared" si="68"/>
        <v>0</v>
      </c>
      <c r="K222" s="19">
        <v>0</v>
      </c>
      <c r="L222" s="19">
        <f t="shared" si="69"/>
        <v>0</v>
      </c>
      <c r="M222" s="33" t="s">
        <v>1177</v>
      </c>
      <c r="P222" s="37">
        <f t="shared" si="70"/>
        <v>0</v>
      </c>
      <c r="R222" s="37">
        <f t="shared" si="71"/>
        <v>0</v>
      </c>
      <c r="S222" s="37">
        <f t="shared" si="72"/>
        <v>0</v>
      </c>
      <c r="T222" s="37">
        <f t="shared" si="73"/>
        <v>0</v>
      </c>
      <c r="U222" s="37">
        <f t="shared" si="74"/>
        <v>0</v>
      </c>
      <c r="V222" s="37">
        <f t="shared" si="75"/>
        <v>0</v>
      </c>
      <c r="W222" s="37">
        <f t="shared" si="76"/>
        <v>0</v>
      </c>
      <c r="X222" s="37">
        <f t="shared" si="77"/>
        <v>0</v>
      </c>
      <c r="Y222" s="28"/>
      <c r="Z222" s="19">
        <f t="shared" si="78"/>
        <v>0</v>
      </c>
      <c r="AA222" s="19">
        <f t="shared" si="79"/>
        <v>0</v>
      </c>
      <c r="AB222" s="19">
        <f t="shared" si="80"/>
        <v>0</v>
      </c>
      <c r="AD222" s="37">
        <v>21</v>
      </c>
      <c r="AE222" s="37">
        <f t="shared" si="81"/>
        <v>0</v>
      </c>
      <c r="AF222" s="37">
        <f t="shared" si="82"/>
        <v>0</v>
      </c>
      <c r="AG222" s="33" t="s">
        <v>13</v>
      </c>
      <c r="AM222" s="37">
        <f t="shared" si="83"/>
        <v>0</v>
      </c>
      <c r="AN222" s="37">
        <f t="shared" si="84"/>
        <v>0</v>
      </c>
      <c r="AO222" s="38" t="s">
        <v>1210</v>
      </c>
      <c r="AP222" s="38" t="s">
        <v>1229</v>
      </c>
      <c r="AQ222" s="28" t="s">
        <v>1234</v>
      </c>
      <c r="AS222" s="37">
        <f t="shared" si="85"/>
        <v>0</v>
      </c>
      <c r="AT222" s="37">
        <f t="shared" si="86"/>
        <v>0</v>
      </c>
      <c r="AU222" s="37">
        <v>0</v>
      </c>
      <c r="AV222" s="37">
        <f t="shared" si="87"/>
        <v>0</v>
      </c>
    </row>
    <row r="223" spans="1:48" ht="12.75">
      <c r="A223" s="5" t="s">
        <v>169</v>
      </c>
      <c r="B223" s="5"/>
      <c r="C223" s="5" t="s">
        <v>541</v>
      </c>
      <c r="D223" s="5" t="s">
        <v>941</v>
      </c>
      <c r="E223" s="5" t="s">
        <v>1153</v>
      </c>
      <c r="F223" s="19">
        <v>2</v>
      </c>
      <c r="G223" s="19">
        <v>0</v>
      </c>
      <c r="H223" s="19">
        <f t="shared" si="66"/>
        <v>0</v>
      </c>
      <c r="I223" s="19">
        <f t="shared" si="67"/>
        <v>0</v>
      </c>
      <c r="J223" s="19">
        <f t="shared" si="68"/>
        <v>0</v>
      </c>
      <c r="K223" s="19">
        <v>0</v>
      </c>
      <c r="L223" s="19">
        <f t="shared" si="69"/>
        <v>0</v>
      </c>
      <c r="M223" s="33" t="s">
        <v>1177</v>
      </c>
      <c r="P223" s="37">
        <f t="shared" si="70"/>
        <v>0</v>
      </c>
      <c r="R223" s="37">
        <f t="shared" si="71"/>
        <v>0</v>
      </c>
      <c r="S223" s="37">
        <f t="shared" si="72"/>
        <v>0</v>
      </c>
      <c r="T223" s="37">
        <f t="shared" si="73"/>
        <v>0</v>
      </c>
      <c r="U223" s="37">
        <f t="shared" si="74"/>
        <v>0</v>
      </c>
      <c r="V223" s="37">
        <f t="shared" si="75"/>
        <v>0</v>
      </c>
      <c r="W223" s="37">
        <f t="shared" si="76"/>
        <v>0</v>
      </c>
      <c r="X223" s="37">
        <f t="shared" si="77"/>
        <v>0</v>
      </c>
      <c r="Y223" s="28"/>
      <c r="Z223" s="19">
        <f t="shared" si="78"/>
        <v>0</v>
      </c>
      <c r="AA223" s="19">
        <f t="shared" si="79"/>
        <v>0</v>
      </c>
      <c r="AB223" s="19">
        <f t="shared" si="80"/>
        <v>0</v>
      </c>
      <c r="AD223" s="37">
        <v>21</v>
      </c>
      <c r="AE223" s="37">
        <f t="shared" si="81"/>
        <v>0</v>
      </c>
      <c r="AF223" s="37">
        <f t="shared" si="82"/>
        <v>0</v>
      </c>
      <c r="AG223" s="33" t="s">
        <v>13</v>
      </c>
      <c r="AM223" s="37">
        <f t="shared" si="83"/>
        <v>0</v>
      </c>
      <c r="AN223" s="37">
        <f t="shared" si="84"/>
        <v>0</v>
      </c>
      <c r="AO223" s="38" t="s">
        <v>1210</v>
      </c>
      <c r="AP223" s="38" t="s">
        <v>1229</v>
      </c>
      <c r="AQ223" s="28" t="s">
        <v>1234</v>
      </c>
      <c r="AS223" s="37">
        <f t="shared" si="85"/>
        <v>0</v>
      </c>
      <c r="AT223" s="37">
        <f t="shared" si="86"/>
        <v>0</v>
      </c>
      <c r="AU223" s="37">
        <v>0</v>
      </c>
      <c r="AV223" s="37">
        <f t="shared" si="87"/>
        <v>0</v>
      </c>
    </row>
    <row r="224" spans="1:48" ht="12.75">
      <c r="A224" s="5" t="s">
        <v>170</v>
      </c>
      <c r="B224" s="5"/>
      <c r="C224" s="5" t="s">
        <v>542</v>
      </c>
      <c r="D224" s="5" t="s">
        <v>942</v>
      </c>
      <c r="E224" s="5" t="s">
        <v>1153</v>
      </c>
      <c r="F224" s="19">
        <v>1</v>
      </c>
      <c r="G224" s="19">
        <v>0</v>
      </c>
      <c r="H224" s="19">
        <f t="shared" si="66"/>
        <v>0</v>
      </c>
      <c r="I224" s="19">
        <f t="shared" si="67"/>
        <v>0</v>
      </c>
      <c r="J224" s="19">
        <f t="shared" si="68"/>
        <v>0</v>
      </c>
      <c r="K224" s="19">
        <v>0</v>
      </c>
      <c r="L224" s="19">
        <f t="shared" si="69"/>
        <v>0</v>
      </c>
      <c r="M224" s="33" t="s">
        <v>1177</v>
      </c>
      <c r="P224" s="37">
        <f t="shared" si="70"/>
        <v>0</v>
      </c>
      <c r="R224" s="37">
        <f t="shared" si="71"/>
        <v>0</v>
      </c>
      <c r="S224" s="37">
        <f t="shared" si="72"/>
        <v>0</v>
      </c>
      <c r="T224" s="37">
        <f t="shared" si="73"/>
        <v>0</v>
      </c>
      <c r="U224" s="37">
        <f t="shared" si="74"/>
        <v>0</v>
      </c>
      <c r="V224" s="37">
        <f t="shared" si="75"/>
        <v>0</v>
      </c>
      <c r="W224" s="37">
        <f t="shared" si="76"/>
        <v>0</v>
      </c>
      <c r="X224" s="37">
        <f t="shared" si="77"/>
        <v>0</v>
      </c>
      <c r="Y224" s="28"/>
      <c r="Z224" s="19">
        <f t="shared" si="78"/>
        <v>0</v>
      </c>
      <c r="AA224" s="19">
        <f t="shared" si="79"/>
        <v>0</v>
      </c>
      <c r="AB224" s="19">
        <f t="shared" si="80"/>
        <v>0</v>
      </c>
      <c r="AD224" s="37">
        <v>21</v>
      </c>
      <c r="AE224" s="37">
        <f t="shared" si="81"/>
        <v>0</v>
      </c>
      <c r="AF224" s="37">
        <f t="shared" si="82"/>
        <v>0</v>
      </c>
      <c r="AG224" s="33" t="s">
        <v>13</v>
      </c>
      <c r="AM224" s="37">
        <f t="shared" si="83"/>
        <v>0</v>
      </c>
      <c r="AN224" s="37">
        <f t="shared" si="84"/>
        <v>0</v>
      </c>
      <c r="AO224" s="38" t="s">
        <v>1210</v>
      </c>
      <c r="AP224" s="38" t="s">
        <v>1229</v>
      </c>
      <c r="AQ224" s="28" t="s">
        <v>1234</v>
      </c>
      <c r="AS224" s="37">
        <f t="shared" si="85"/>
        <v>0</v>
      </c>
      <c r="AT224" s="37">
        <f t="shared" si="86"/>
        <v>0</v>
      </c>
      <c r="AU224" s="37">
        <v>0</v>
      </c>
      <c r="AV224" s="37">
        <f t="shared" si="87"/>
        <v>0</v>
      </c>
    </row>
    <row r="225" spans="1:48" ht="12.75">
      <c r="A225" s="5" t="s">
        <v>171</v>
      </c>
      <c r="B225" s="5"/>
      <c r="C225" s="5" t="s">
        <v>543</v>
      </c>
      <c r="D225" s="5" t="s">
        <v>943</v>
      </c>
      <c r="E225" s="5" t="s">
        <v>1154</v>
      </c>
      <c r="F225" s="19">
        <v>75.6</v>
      </c>
      <c r="G225" s="19">
        <v>0</v>
      </c>
      <c r="H225" s="19">
        <f t="shared" si="66"/>
        <v>0</v>
      </c>
      <c r="I225" s="19">
        <f t="shared" si="67"/>
        <v>0</v>
      </c>
      <c r="J225" s="19">
        <f t="shared" si="68"/>
        <v>0</v>
      </c>
      <c r="K225" s="19">
        <v>0</v>
      </c>
      <c r="L225" s="19">
        <f t="shared" si="69"/>
        <v>0</v>
      </c>
      <c r="M225" s="33" t="s">
        <v>1177</v>
      </c>
      <c r="P225" s="37">
        <f t="shared" si="70"/>
        <v>0</v>
      </c>
      <c r="R225" s="37">
        <f t="shared" si="71"/>
        <v>0</v>
      </c>
      <c r="S225" s="37">
        <f t="shared" si="72"/>
        <v>0</v>
      </c>
      <c r="T225" s="37">
        <f t="shared" si="73"/>
        <v>0</v>
      </c>
      <c r="U225" s="37">
        <f t="shared" si="74"/>
        <v>0</v>
      </c>
      <c r="V225" s="37">
        <f t="shared" si="75"/>
        <v>0</v>
      </c>
      <c r="W225" s="37">
        <f t="shared" si="76"/>
        <v>0</v>
      </c>
      <c r="X225" s="37">
        <f t="shared" si="77"/>
        <v>0</v>
      </c>
      <c r="Y225" s="28"/>
      <c r="Z225" s="19">
        <f t="shared" si="78"/>
        <v>0</v>
      </c>
      <c r="AA225" s="19">
        <f t="shared" si="79"/>
        <v>0</v>
      </c>
      <c r="AB225" s="19">
        <f t="shared" si="80"/>
        <v>0</v>
      </c>
      <c r="AD225" s="37">
        <v>21</v>
      </c>
      <c r="AE225" s="37">
        <f t="shared" si="81"/>
        <v>0</v>
      </c>
      <c r="AF225" s="37">
        <f t="shared" si="82"/>
        <v>0</v>
      </c>
      <c r="AG225" s="33" t="s">
        <v>13</v>
      </c>
      <c r="AM225" s="37">
        <f t="shared" si="83"/>
        <v>0</v>
      </c>
      <c r="AN225" s="37">
        <f t="shared" si="84"/>
        <v>0</v>
      </c>
      <c r="AO225" s="38" t="s">
        <v>1210</v>
      </c>
      <c r="AP225" s="38" t="s">
        <v>1229</v>
      </c>
      <c r="AQ225" s="28" t="s">
        <v>1234</v>
      </c>
      <c r="AS225" s="37">
        <f t="shared" si="85"/>
        <v>0</v>
      </c>
      <c r="AT225" s="37">
        <f t="shared" si="86"/>
        <v>0</v>
      </c>
      <c r="AU225" s="37">
        <v>0</v>
      </c>
      <c r="AV225" s="37">
        <f t="shared" si="87"/>
        <v>0</v>
      </c>
    </row>
    <row r="226" spans="1:48" ht="12.75">
      <c r="A226" s="5" t="s">
        <v>172</v>
      </c>
      <c r="B226" s="5"/>
      <c r="C226" s="5" t="s">
        <v>544</v>
      </c>
      <c r="D226" s="5" t="s">
        <v>944</v>
      </c>
      <c r="E226" s="5" t="s">
        <v>1154</v>
      </c>
      <c r="F226" s="19">
        <v>75.6</v>
      </c>
      <c r="G226" s="19">
        <v>0</v>
      </c>
      <c r="H226" s="19">
        <f t="shared" si="66"/>
        <v>0</v>
      </c>
      <c r="I226" s="19">
        <f t="shared" si="67"/>
        <v>0</v>
      </c>
      <c r="J226" s="19">
        <f t="shared" si="68"/>
        <v>0</v>
      </c>
      <c r="K226" s="19">
        <v>0</v>
      </c>
      <c r="L226" s="19">
        <f t="shared" si="69"/>
        <v>0</v>
      </c>
      <c r="M226" s="33" t="s">
        <v>1177</v>
      </c>
      <c r="P226" s="37">
        <f t="shared" si="70"/>
        <v>0</v>
      </c>
      <c r="R226" s="37">
        <f t="shared" si="71"/>
        <v>0</v>
      </c>
      <c r="S226" s="37">
        <f t="shared" si="72"/>
        <v>0</v>
      </c>
      <c r="T226" s="37">
        <f t="shared" si="73"/>
        <v>0</v>
      </c>
      <c r="U226" s="37">
        <f t="shared" si="74"/>
        <v>0</v>
      </c>
      <c r="V226" s="37">
        <f t="shared" si="75"/>
        <v>0</v>
      </c>
      <c r="W226" s="37">
        <f t="shared" si="76"/>
        <v>0</v>
      </c>
      <c r="X226" s="37">
        <f t="shared" si="77"/>
        <v>0</v>
      </c>
      <c r="Y226" s="28"/>
      <c r="Z226" s="19">
        <f t="shared" si="78"/>
        <v>0</v>
      </c>
      <c r="AA226" s="19">
        <f t="shared" si="79"/>
        <v>0</v>
      </c>
      <c r="AB226" s="19">
        <f t="shared" si="80"/>
        <v>0</v>
      </c>
      <c r="AD226" s="37">
        <v>21</v>
      </c>
      <c r="AE226" s="37">
        <f t="shared" si="81"/>
        <v>0</v>
      </c>
      <c r="AF226" s="37">
        <f t="shared" si="82"/>
        <v>0</v>
      </c>
      <c r="AG226" s="33" t="s">
        <v>13</v>
      </c>
      <c r="AM226" s="37">
        <f t="shared" si="83"/>
        <v>0</v>
      </c>
      <c r="AN226" s="37">
        <f t="shared" si="84"/>
        <v>0</v>
      </c>
      <c r="AO226" s="38" t="s">
        <v>1210</v>
      </c>
      <c r="AP226" s="38" t="s">
        <v>1229</v>
      </c>
      <c r="AQ226" s="28" t="s">
        <v>1234</v>
      </c>
      <c r="AS226" s="37">
        <f t="shared" si="85"/>
        <v>0</v>
      </c>
      <c r="AT226" s="37">
        <f t="shared" si="86"/>
        <v>0</v>
      </c>
      <c r="AU226" s="37">
        <v>0</v>
      </c>
      <c r="AV226" s="37">
        <f t="shared" si="87"/>
        <v>0</v>
      </c>
    </row>
    <row r="227" spans="1:48" ht="12.75">
      <c r="A227" s="5" t="s">
        <v>173</v>
      </c>
      <c r="B227" s="5"/>
      <c r="C227" s="5" t="s">
        <v>545</v>
      </c>
      <c r="D227" s="5" t="s">
        <v>945</v>
      </c>
      <c r="E227" s="5" t="s">
        <v>1154</v>
      </c>
      <c r="F227" s="19">
        <v>75.6</v>
      </c>
      <c r="G227" s="19">
        <v>0</v>
      </c>
      <c r="H227" s="19">
        <f t="shared" si="66"/>
        <v>0</v>
      </c>
      <c r="I227" s="19">
        <f t="shared" si="67"/>
        <v>0</v>
      </c>
      <c r="J227" s="19">
        <f t="shared" si="68"/>
        <v>0</v>
      </c>
      <c r="K227" s="19">
        <v>0</v>
      </c>
      <c r="L227" s="19">
        <f t="shared" si="69"/>
        <v>0</v>
      </c>
      <c r="M227" s="33" t="s">
        <v>1177</v>
      </c>
      <c r="P227" s="37">
        <f t="shared" si="70"/>
        <v>0</v>
      </c>
      <c r="R227" s="37">
        <f t="shared" si="71"/>
        <v>0</v>
      </c>
      <c r="S227" s="37">
        <f t="shared" si="72"/>
        <v>0</v>
      </c>
      <c r="T227" s="37">
        <f t="shared" si="73"/>
        <v>0</v>
      </c>
      <c r="U227" s="37">
        <f t="shared" si="74"/>
        <v>0</v>
      </c>
      <c r="V227" s="37">
        <f t="shared" si="75"/>
        <v>0</v>
      </c>
      <c r="W227" s="37">
        <f t="shared" si="76"/>
        <v>0</v>
      </c>
      <c r="X227" s="37">
        <f t="shared" si="77"/>
        <v>0</v>
      </c>
      <c r="Y227" s="28"/>
      <c r="Z227" s="19">
        <f t="shared" si="78"/>
        <v>0</v>
      </c>
      <c r="AA227" s="19">
        <f t="shared" si="79"/>
        <v>0</v>
      </c>
      <c r="AB227" s="19">
        <f t="shared" si="80"/>
        <v>0</v>
      </c>
      <c r="AD227" s="37">
        <v>21</v>
      </c>
      <c r="AE227" s="37">
        <f t="shared" si="81"/>
        <v>0</v>
      </c>
      <c r="AF227" s="37">
        <f t="shared" si="82"/>
        <v>0</v>
      </c>
      <c r="AG227" s="33" t="s">
        <v>13</v>
      </c>
      <c r="AM227" s="37">
        <f t="shared" si="83"/>
        <v>0</v>
      </c>
      <c r="AN227" s="37">
        <f t="shared" si="84"/>
        <v>0</v>
      </c>
      <c r="AO227" s="38" t="s">
        <v>1210</v>
      </c>
      <c r="AP227" s="38" t="s">
        <v>1229</v>
      </c>
      <c r="AQ227" s="28" t="s">
        <v>1234</v>
      </c>
      <c r="AS227" s="37">
        <f t="shared" si="85"/>
        <v>0</v>
      </c>
      <c r="AT227" s="37">
        <f t="shared" si="86"/>
        <v>0</v>
      </c>
      <c r="AU227" s="37">
        <v>0</v>
      </c>
      <c r="AV227" s="37">
        <f t="shared" si="87"/>
        <v>0</v>
      </c>
    </row>
    <row r="228" spans="1:48" ht="12.75">
      <c r="A228" s="5" t="s">
        <v>174</v>
      </c>
      <c r="B228" s="5"/>
      <c r="C228" s="5" t="s">
        <v>546</v>
      </c>
      <c r="D228" s="5" t="s">
        <v>899</v>
      </c>
      <c r="E228" s="5" t="s">
        <v>1153</v>
      </c>
      <c r="F228" s="19">
        <v>1</v>
      </c>
      <c r="G228" s="19">
        <v>0</v>
      </c>
      <c r="H228" s="19">
        <f t="shared" si="66"/>
        <v>0</v>
      </c>
      <c r="I228" s="19">
        <f t="shared" si="67"/>
        <v>0</v>
      </c>
      <c r="J228" s="19">
        <f t="shared" si="68"/>
        <v>0</v>
      </c>
      <c r="K228" s="19">
        <v>0</v>
      </c>
      <c r="L228" s="19">
        <f t="shared" si="69"/>
        <v>0</v>
      </c>
      <c r="M228" s="33" t="s">
        <v>1177</v>
      </c>
      <c r="P228" s="37">
        <f t="shared" si="70"/>
        <v>0</v>
      </c>
      <c r="R228" s="37">
        <f t="shared" si="71"/>
        <v>0</v>
      </c>
      <c r="S228" s="37">
        <f t="shared" si="72"/>
        <v>0</v>
      </c>
      <c r="T228" s="37">
        <f t="shared" si="73"/>
        <v>0</v>
      </c>
      <c r="U228" s="37">
        <f t="shared" si="74"/>
        <v>0</v>
      </c>
      <c r="V228" s="37">
        <f t="shared" si="75"/>
        <v>0</v>
      </c>
      <c r="W228" s="37">
        <f t="shared" si="76"/>
        <v>0</v>
      </c>
      <c r="X228" s="37">
        <f t="shared" si="77"/>
        <v>0</v>
      </c>
      <c r="Y228" s="28"/>
      <c r="Z228" s="19">
        <f t="shared" si="78"/>
        <v>0</v>
      </c>
      <c r="AA228" s="19">
        <f t="shared" si="79"/>
        <v>0</v>
      </c>
      <c r="AB228" s="19">
        <f t="shared" si="80"/>
        <v>0</v>
      </c>
      <c r="AD228" s="37">
        <v>21</v>
      </c>
      <c r="AE228" s="37">
        <f t="shared" si="81"/>
        <v>0</v>
      </c>
      <c r="AF228" s="37">
        <f t="shared" si="82"/>
        <v>0</v>
      </c>
      <c r="AG228" s="33" t="s">
        <v>13</v>
      </c>
      <c r="AM228" s="37">
        <f t="shared" si="83"/>
        <v>0</v>
      </c>
      <c r="AN228" s="37">
        <f t="shared" si="84"/>
        <v>0</v>
      </c>
      <c r="AO228" s="38" t="s">
        <v>1210</v>
      </c>
      <c r="AP228" s="38" t="s">
        <v>1229</v>
      </c>
      <c r="AQ228" s="28" t="s">
        <v>1234</v>
      </c>
      <c r="AS228" s="37">
        <f t="shared" si="85"/>
        <v>0</v>
      </c>
      <c r="AT228" s="37">
        <f t="shared" si="86"/>
        <v>0</v>
      </c>
      <c r="AU228" s="37">
        <v>0</v>
      </c>
      <c r="AV228" s="37">
        <f t="shared" si="87"/>
        <v>0</v>
      </c>
    </row>
    <row r="229" spans="1:48" ht="12.75">
      <c r="A229" s="5" t="s">
        <v>175</v>
      </c>
      <c r="B229" s="5"/>
      <c r="C229" s="5" t="s">
        <v>547</v>
      </c>
      <c r="D229" s="5" t="s">
        <v>902</v>
      </c>
      <c r="E229" s="5" t="s">
        <v>1153</v>
      </c>
      <c r="F229" s="19">
        <v>1</v>
      </c>
      <c r="G229" s="19">
        <v>0</v>
      </c>
      <c r="H229" s="19">
        <f t="shared" si="66"/>
        <v>0</v>
      </c>
      <c r="I229" s="19">
        <f t="shared" si="67"/>
        <v>0</v>
      </c>
      <c r="J229" s="19">
        <f t="shared" si="68"/>
        <v>0</v>
      </c>
      <c r="K229" s="19">
        <v>0</v>
      </c>
      <c r="L229" s="19">
        <f t="shared" si="69"/>
        <v>0</v>
      </c>
      <c r="M229" s="33" t="s">
        <v>1177</v>
      </c>
      <c r="P229" s="37">
        <f t="shared" si="70"/>
        <v>0</v>
      </c>
      <c r="R229" s="37">
        <f t="shared" si="71"/>
        <v>0</v>
      </c>
      <c r="S229" s="37">
        <f t="shared" si="72"/>
        <v>0</v>
      </c>
      <c r="T229" s="37">
        <f t="shared" si="73"/>
        <v>0</v>
      </c>
      <c r="U229" s="37">
        <f t="shared" si="74"/>
        <v>0</v>
      </c>
      <c r="V229" s="37">
        <f t="shared" si="75"/>
        <v>0</v>
      </c>
      <c r="W229" s="37">
        <f t="shared" si="76"/>
        <v>0</v>
      </c>
      <c r="X229" s="37">
        <f t="shared" si="77"/>
        <v>0</v>
      </c>
      <c r="Y229" s="28"/>
      <c r="Z229" s="19">
        <f t="shared" si="78"/>
        <v>0</v>
      </c>
      <c r="AA229" s="19">
        <f t="shared" si="79"/>
        <v>0</v>
      </c>
      <c r="AB229" s="19">
        <f t="shared" si="80"/>
        <v>0</v>
      </c>
      <c r="AD229" s="37">
        <v>21</v>
      </c>
      <c r="AE229" s="37">
        <f t="shared" si="81"/>
        <v>0</v>
      </c>
      <c r="AF229" s="37">
        <f t="shared" si="82"/>
        <v>0</v>
      </c>
      <c r="AG229" s="33" t="s">
        <v>13</v>
      </c>
      <c r="AM229" s="37">
        <f t="shared" si="83"/>
        <v>0</v>
      </c>
      <c r="AN229" s="37">
        <f t="shared" si="84"/>
        <v>0</v>
      </c>
      <c r="AO229" s="38" t="s">
        <v>1210</v>
      </c>
      <c r="AP229" s="38" t="s">
        <v>1229</v>
      </c>
      <c r="AQ229" s="28" t="s">
        <v>1234</v>
      </c>
      <c r="AS229" s="37">
        <f t="shared" si="85"/>
        <v>0</v>
      </c>
      <c r="AT229" s="37">
        <f t="shared" si="86"/>
        <v>0</v>
      </c>
      <c r="AU229" s="37">
        <v>0</v>
      </c>
      <c r="AV229" s="37">
        <f t="shared" si="87"/>
        <v>0</v>
      </c>
    </row>
    <row r="230" spans="1:48" ht="12.75">
      <c r="A230" s="5" t="s">
        <v>176</v>
      </c>
      <c r="B230" s="5"/>
      <c r="C230" s="5" t="s">
        <v>548</v>
      </c>
      <c r="D230" s="5" t="s">
        <v>903</v>
      </c>
      <c r="E230" s="5" t="s">
        <v>1153</v>
      </c>
      <c r="F230" s="19">
        <v>1</v>
      </c>
      <c r="G230" s="19">
        <v>0</v>
      </c>
      <c r="H230" s="19">
        <f t="shared" si="66"/>
        <v>0</v>
      </c>
      <c r="I230" s="19">
        <f t="shared" si="67"/>
        <v>0</v>
      </c>
      <c r="J230" s="19">
        <f t="shared" si="68"/>
        <v>0</v>
      </c>
      <c r="K230" s="19">
        <v>0</v>
      </c>
      <c r="L230" s="19">
        <f t="shared" si="69"/>
        <v>0</v>
      </c>
      <c r="M230" s="33" t="s">
        <v>1177</v>
      </c>
      <c r="P230" s="37">
        <f t="shared" si="70"/>
        <v>0</v>
      </c>
      <c r="R230" s="37">
        <f t="shared" si="71"/>
        <v>0</v>
      </c>
      <c r="S230" s="37">
        <f t="shared" si="72"/>
        <v>0</v>
      </c>
      <c r="T230" s="37">
        <f t="shared" si="73"/>
        <v>0</v>
      </c>
      <c r="U230" s="37">
        <f t="shared" si="74"/>
        <v>0</v>
      </c>
      <c r="V230" s="37">
        <f t="shared" si="75"/>
        <v>0</v>
      </c>
      <c r="W230" s="37">
        <f t="shared" si="76"/>
        <v>0</v>
      </c>
      <c r="X230" s="37">
        <f t="shared" si="77"/>
        <v>0</v>
      </c>
      <c r="Y230" s="28"/>
      <c r="Z230" s="19">
        <f t="shared" si="78"/>
        <v>0</v>
      </c>
      <c r="AA230" s="19">
        <f t="shared" si="79"/>
        <v>0</v>
      </c>
      <c r="AB230" s="19">
        <f t="shared" si="80"/>
        <v>0</v>
      </c>
      <c r="AD230" s="37">
        <v>21</v>
      </c>
      <c r="AE230" s="37">
        <f t="shared" si="81"/>
        <v>0</v>
      </c>
      <c r="AF230" s="37">
        <f t="shared" si="82"/>
        <v>0</v>
      </c>
      <c r="AG230" s="33" t="s">
        <v>13</v>
      </c>
      <c r="AM230" s="37">
        <f t="shared" si="83"/>
        <v>0</v>
      </c>
      <c r="AN230" s="37">
        <f t="shared" si="84"/>
        <v>0</v>
      </c>
      <c r="AO230" s="38" t="s">
        <v>1210</v>
      </c>
      <c r="AP230" s="38" t="s">
        <v>1229</v>
      </c>
      <c r="AQ230" s="28" t="s">
        <v>1234</v>
      </c>
      <c r="AS230" s="37">
        <f t="shared" si="85"/>
        <v>0</v>
      </c>
      <c r="AT230" s="37">
        <f t="shared" si="86"/>
        <v>0</v>
      </c>
      <c r="AU230" s="37">
        <v>0</v>
      </c>
      <c r="AV230" s="37">
        <f t="shared" si="87"/>
        <v>0</v>
      </c>
    </row>
    <row r="231" spans="1:48" ht="12.75">
      <c r="A231" s="5" t="s">
        <v>177</v>
      </c>
      <c r="B231" s="5"/>
      <c r="C231" s="5" t="s">
        <v>549</v>
      </c>
      <c r="D231" s="5" t="s">
        <v>904</v>
      </c>
      <c r="E231" s="5" t="s">
        <v>1153</v>
      </c>
      <c r="F231" s="19">
        <v>1</v>
      </c>
      <c r="G231" s="19">
        <v>0</v>
      </c>
      <c r="H231" s="19">
        <f t="shared" si="66"/>
        <v>0</v>
      </c>
      <c r="I231" s="19">
        <f t="shared" si="67"/>
        <v>0</v>
      </c>
      <c r="J231" s="19">
        <f t="shared" si="68"/>
        <v>0</v>
      </c>
      <c r="K231" s="19">
        <v>0</v>
      </c>
      <c r="L231" s="19">
        <f t="shared" si="69"/>
        <v>0</v>
      </c>
      <c r="M231" s="33" t="s">
        <v>1177</v>
      </c>
      <c r="P231" s="37">
        <f t="shared" si="70"/>
        <v>0</v>
      </c>
      <c r="R231" s="37">
        <f t="shared" si="71"/>
        <v>0</v>
      </c>
      <c r="S231" s="37">
        <f t="shared" si="72"/>
        <v>0</v>
      </c>
      <c r="T231" s="37">
        <f t="shared" si="73"/>
        <v>0</v>
      </c>
      <c r="U231" s="37">
        <f t="shared" si="74"/>
        <v>0</v>
      </c>
      <c r="V231" s="37">
        <f t="shared" si="75"/>
        <v>0</v>
      </c>
      <c r="W231" s="37">
        <f t="shared" si="76"/>
        <v>0</v>
      </c>
      <c r="X231" s="37">
        <f t="shared" si="77"/>
        <v>0</v>
      </c>
      <c r="Y231" s="28"/>
      <c r="Z231" s="19">
        <f t="shared" si="78"/>
        <v>0</v>
      </c>
      <c r="AA231" s="19">
        <f t="shared" si="79"/>
        <v>0</v>
      </c>
      <c r="AB231" s="19">
        <f t="shared" si="80"/>
        <v>0</v>
      </c>
      <c r="AD231" s="37">
        <v>21</v>
      </c>
      <c r="AE231" s="37">
        <f t="shared" si="81"/>
        <v>0</v>
      </c>
      <c r="AF231" s="37">
        <f t="shared" si="82"/>
        <v>0</v>
      </c>
      <c r="AG231" s="33" t="s">
        <v>13</v>
      </c>
      <c r="AM231" s="37">
        <f t="shared" si="83"/>
        <v>0</v>
      </c>
      <c r="AN231" s="37">
        <f t="shared" si="84"/>
        <v>0</v>
      </c>
      <c r="AO231" s="38" t="s">
        <v>1210</v>
      </c>
      <c r="AP231" s="38" t="s">
        <v>1229</v>
      </c>
      <c r="AQ231" s="28" t="s">
        <v>1234</v>
      </c>
      <c r="AS231" s="37">
        <f t="shared" si="85"/>
        <v>0</v>
      </c>
      <c r="AT231" s="37">
        <f t="shared" si="86"/>
        <v>0</v>
      </c>
      <c r="AU231" s="37">
        <v>0</v>
      </c>
      <c r="AV231" s="37">
        <f t="shared" si="87"/>
        <v>0</v>
      </c>
    </row>
    <row r="232" spans="1:37" ht="12.75">
      <c r="A232" s="6"/>
      <c r="B232" s="14"/>
      <c r="C232" s="14" t="s">
        <v>550</v>
      </c>
      <c r="D232" s="14" t="s">
        <v>946</v>
      </c>
      <c r="E232" s="6" t="s">
        <v>6</v>
      </c>
      <c r="F232" s="6" t="s">
        <v>6</v>
      </c>
      <c r="G232" s="6" t="s">
        <v>6</v>
      </c>
      <c r="H232" s="40">
        <f>SUM(H233:H312)</f>
        <v>0</v>
      </c>
      <c r="I232" s="40">
        <f>SUM(I233:I312)</f>
        <v>0</v>
      </c>
      <c r="J232" s="40">
        <f>H232+I232</f>
        <v>0</v>
      </c>
      <c r="K232" s="28"/>
      <c r="L232" s="40">
        <f>SUM(L233:L312)</f>
        <v>0</v>
      </c>
      <c r="M232" s="28"/>
      <c r="Y232" s="28"/>
      <c r="AI232" s="40">
        <f>SUM(Z233:Z312)</f>
        <v>0</v>
      </c>
      <c r="AJ232" s="40">
        <f>SUM(AA233:AA312)</f>
        <v>0</v>
      </c>
      <c r="AK232" s="40">
        <f>SUM(AB233:AB312)</f>
        <v>0</v>
      </c>
    </row>
    <row r="233" spans="1:48" ht="12.75">
      <c r="A233" s="5" t="s">
        <v>178</v>
      </c>
      <c r="B233" s="5"/>
      <c r="C233" s="5" t="s">
        <v>551</v>
      </c>
      <c r="D233" s="5" t="s">
        <v>947</v>
      </c>
      <c r="E233" s="5" t="s">
        <v>1153</v>
      </c>
      <c r="F233" s="19">
        <v>10</v>
      </c>
      <c r="G233" s="19">
        <v>0</v>
      </c>
      <c r="H233" s="19">
        <f aca="true" t="shared" si="88" ref="H233:H264">F233*AE233</f>
        <v>0</v>
      </c>
      <c r="I233" s="19">
        <f aca="true" t="shared" si="89" ref="I233:I264">J233-H233</f>
        <v>0</v>
      </c>
      <c r="J233" s="19">
        <f aca="true" t="shared" si="90" ref="J233:J264">F233*G233</f>
        <v>0</v>
      </c>
      <c r="K233" s="19">
        <v>0</v>
      </c>
      <c r="L233" s="19">
        <f aca="true" t="shared" si="91" ref="L233:L264">F233*K233</f>
        <v>0</v>
      </c>
      <c r="M233" s="33" t="s">
        <v>1177</v>
      </c>
      <c r="P233" s="37">
        <f aca="true" t="shared" si="92" ref="P233:P264">IF(AG233="5",J233,0)</f>
        <v>0</v>
      </c>
      <c r="R233" s="37">
        <f aca="true" t="shared" si="93" ref="R233:R264">IF(AG233="1",H233,0)</f>
        <v>0</v>
      </c>
      <c r="S233" s="37">
        <f aca="true" t="shared" si="94" ref="S233:S264">IF(AG233="1",I233,0)</f>
        <v>0</v>
      </c>
      <c r="T233" s="37">
        <f aca="true" t="shared" si="95" ref="T233:T264">IF(AG233="7",H233,0)</f>
        <v>0</v>
      </c>
      <c r="U233" s="37">
        <f aca="true" t="shared" si="96" ref="U233:U264">IF(AG233="7",I233,0)</f>
        <v>0</v>
      </c>
      <c r="V233" s="37">
        <f aca="true" t="shared" si="97" ref="V233:V264">IF(AG233="2",H233,0)</f>
        <v>0</v>
      </c>
      <c r="W233" s="37">
        <f aca="true" t="shared" si="98" ref="W233:W264">IF(AG233="2",I233,0)</f>
        <v>0</v>
      </c>
      <c r="X233" s="37">
        <f aca="true" t="shared" si="99" ref="X233:X264">IF(AG233="0",J233,0)</f>
        <v>0</v>
      </c>
      <c r="Y233" s="28"/>
      <c r="Z233" s="19">
        <f aca="true" t="shared" si="100" ref="Z233:Z264">IF(AD233=0,J233,0)</f>
        <v>0</v>
      </c>
      <c r="AA233" s="19">
        <f aca="true" t="shared" si="101" ref="AA233:AA264">IF(AD233=15,J233,0)</f>
        <v>0</v>
      </c>
      <c r="AB233" s="19">
        <f aca="true" t="shared" si="102" ref="AB233:AB264">IF(AD233=21,J233,0)</f>
        <v>0</v>
      </c>
      <c r="AD233" s="37">
        <v>21</v>
      </c>
      <c r="AE233" s="37">
        <f aca="true" t="shared" si="103" ref="AE233:AE252">G233*0</f>
        <v>0</v>
      </c>
      <c r="AF233" s="37">
        <f aca="true" t="shared" si="104" ref="AF233:AF252">G233*(1-0)</f>
        <v>0</v>
      </c>
      <c r="AG233" s="33" t="s">
        <v>13</v>
      </c>
      <c r="AM233" s="37">
        <f aca="true" t="shared" si="105" ref="AM233:AM264">F233*AE233</f>
        <v>0</v>
      </c>
      <c r="AN233" s="37">
        <f aca="true" t="shared" si="106" ref="AN233:AN264">F233*AF233</f>
        <v>0</v>
      </c>
      <c r="AO233" s="38" t="s">
        <v>1211</v>
      </c>
      <c r="AP233" s="38" t="s">
        <v>1230</v>
      </c>
      <c r="AQ233" s="28" t="s">
        <v>1234</v>
      </c>
      <c r="AS233" s="37">
        <f aca="true" t="shared" si="107" ref="AS233:AS264">AM233+AN233</f>
        <v>0</v>
      </c>
      <c r="AT233" s="37">
        <f aca="true" t="shared" si="108" ref="AT233:AT264">G233/(100-AU233)*100</f>
        <v>0</v>
      </c>
      <c r="AU233" s="37">
        <v>0</v>
      </c>
      <c r="AV233" s="37">
        <f aca="true" t="shared" si="109" ref="AV233:AV264">L233</f>
        <v>0</v>
      </c>
    </row>
    <row r="234" spans="1:48" ht="12.75">
      <c r="A234" s="5" t="s">
        <v>179</v>
      </c>
      <c r="B234" s="5"/>
      <c r="C234" s="5" t="s">
        <v>552</v>
      </c>
      <c r="D234" s="5" t="s">
        <v>948</v>
      </c>
      <c r="E234" s="5" t="s">
        <v>1153</v>
      </c>
      <c r="F234" s="19">
        <v>6</v>
      </c>
      <c r="G234" s="19">
        <v>0</v>
      </c>
      <c r="H234" s="19">
        <f t="shared" si="88"/>
        <v>0</v>
      </c>
      <c r="I234" s="19">
        <f t="shared" si="89"/>
        <v>0</v>
      </c>
      <c r="J234" s="19">
        <f t="shared" si="90"/>
        <v>0</v>
      </c>
      <c r="K234" s="19">
        <v>0</v>
      </c>
      <c r="L234" s="19">
        <f t="shared" si="91"/>
        <v>0</v>
      </c>
      <c r="M234" s="33" t="s">
        <v>1177</v>
      </c>
      <c r="P234" s="37">
        <f t="shared" si="92"/>
        <v>0</v>
      </c>
      <c r="R234" s="37">
        <f t="shared" si="93"/>
        <v>0</v>
      </c>
      <c r="S234" s="37">
        <f t="shared" si="94"/>
        <v>0</v>
      </c>
      <c r="T234" s="37">
        <f t="shared" si="95"/>
        <v>0</v>
      </c>
      <c r="U234" s="37">
        <f t="shared" si="96"/>
        <v>0</v>
      </c>
      <c r="V234" s="37">
        <f t="shared" si="97"/>
        <v>0</v>
      </c>
      <c r="W234" s="37">
        <f t="shared" si="98"/>
        <v>0</v>
      </c>
      <c r="X234" s="37">
        <f t="shared" si="99"/>
        <v>0</v>
      </c>
      <c r="Y234" s="28"/>
      <c r="Z234" s="19">
        <f t="shared" si="100"/>
        <v>0</v>
      </c>
      <c r="AA234" s="19">
        <f t="shared" si="101"/>
        <v>0</v>
      </c>
      <c r="AB234" s="19">
        <f t="shared" si="102"/>
        <v>0</v>
      </c>
      <c r="AD234" s="37">
        <v>21</v>
      </c>
      <c r="AE234" s="37">
        <f t="shared" si="103"/>
        <v>0</v>
      </c>
      <c r="AF234" s="37">
        <f t="shared" si="104"/>
        <v>0</v>
      </c>
      <c r="AG234" s="33" t="s">
        <v>13</v>
      </c>
      <c r="AM234" s="37">
        <f t="shared" si="105"/>
        <v>0</v>
      </c>
      <c r="AN234" s="37">
        <f t="shared" si="106"/>
        <v>0</v>
      </c>
      <c r="AO234" s="38" t="s">
        <v>1211</v>
      </c>
      <c r="AP234" s="38" t="s">
        <v>1230</v>
      </c>
      <c r="AQ234" s="28" t="s">
        <v>1234</v>
      </c>
      <c r="AS234" s="37">
        <f t="shared" si="107"/>
        <v>0</v>
      </c>
      <c r="AT234" s="37">
        <f t="shared" si="108"/>
        <v>0</v>
      </c>
      <c r="AU234" s="37">
        <v>0</v>
      </c>
      <c r="AV234" s="37">
        <f t="shared" si="109"/>
        <v>0</v>
      </c>
    </row>
    <row r="235" spans="1:48" ht="12.75">
      <c r="A235" s="5" t="s">
        <v>180</v>
      </c>
      <c r="B235" s="5"/>
      <c r="C235" s="5" t="s">
        <v>553</v>
      </c>
      <c r="D235" s="5" t="s">
        <v>949</v>
      </c>
      <c r="E235" s="5" t="s">
        <v>1153</v>
      </c>
      <c r="F235" s="19">
        <v>42</v>
      </c>
      <c r="G235" s="19">
        <v>0</v>
      </c>
      <c r="H235" s="19">
        <f t="shared" si="88"/>
        <v>0</v>
      </c>
      <c r="I235" s="19">
        <f t="shared" si="89"/>
        <v>0</v>
      </c>
      <c r="J235" s="19">
        <f t="shared" si="90"/>
        <v>0</v>
      </c>
      <c r="K235" s="19">
        <v>0</v>
      </c>
      <c r="L235" s="19">
        <f t="shared" si="91"/>
        <v>0</v>
      </c>
      <c r="M235" s="33" t="s">
        <v>1177</v>
      </c>
      <c r="P235" s="37">
        <f t="shared" si="92"/>
        <v>0</v>
      </c>
      <c r="R235" s="37">
        <f t="shared" si="93"/>
        <v>0</v>
      </c>
      <c r="S235" s="37">
        <f t="shared" si="94"/>
        <v>0</v>
      </c>
      <c r="T235" s="37">
        <f t="shared" si="95"/>
        <v>0</v>
      </c>
      <c r="U235" s="37">
        <f t="shared" si="96"/>
        <v>0</v>
      </c>
      <c r="V235" s="37">
        <f t="shared" si="97"/>
        <v>0</v>
      </c>
      <c r="W235" s="37">
        <f t="shared" si="98"/>
        <v>0</v>
      </c>
      <c r="X235" s="37">
        <f t="shared" si="99"/>
        <v>0</v>
      </c>
      <c r="Y235" s="28"/>
      <c r="Z235" s="19">
        <f t="shared" si="100"/>
        <v>0</v>
      </c>
      <c r="AA235" s="19">
        <f t="shared" si="101"/>
        <v>0</v>
      </c>
      <c r="AB235" s="19">
        <f t="shared" si="102"/>
        <v>0</v>
      </c>
      <c r="AD235" s="37">
        <v>21</v>
      </c>
      <c r="AE235" s="37">
        <f t="shared" si="103"/>
        <v>0</v>
      </c>
      <c r="AF235" s="37">
        <f t="shared" si="104"/>
        <v>0</v>
      </c>
      <c r="AG235" s="33" t="s">
        <v>13</v>
      </c>
      <c r="AM235" s="37">
        <f t="shared" si="105"/>
        <v>0</v>
      </c>
      <c r="AN235" s="37">
        <f t="shared" si="106"/>
        <v>0</v>
      </c>
      <c r="AO235" s="38" t="s">
        <v>1211</v>
      </c>
      <c r="AP235" s="38" t="s">
        <v>1230</v>
      </c>
      <c r="AQ235" s="28" t="s">
        <v>1234</v>
      </c>
      <c r="AS235" s="37">
        <f t="shared" si="107"/>
        <v>0</v>
      </c>
      <c r="AT235" s="37">
        <f t="shared" si="108"/>
        <v>0</v>
      </c>
      <c r="AU235" s="37">
        <v>0</v>
      </c>
      <c r="AV235" s="37">
        <f t="shared" si="109"/>
        <v>0</v>
      </c>
    </row>
    <row r="236" spans="1:48" ht="12.75">
      <c r="A236" s="5" t="s">
        <v>181</v>
      </c>
      <c r="B236" s="5"/>
      <c r="C236" s="5" t="s">
        <v>554</v>
      </c>
      <c r="D236" s="5" t="s">
        <v>950</v>
      </c>
      <c r="E236" s="5" t="s">
        <v>1154</v>
      </c>
      <c r="F236" s="19">
        <v>120</v>
      </c>
      <c r="G236" s="19">
        <v>0</v>
      </c>
      <c r="H236" s="19">
        <f t="shared" si="88"/>
        <v>0</v>
      </c>
      <c r="I236" s="19">
        <f t="shared" si="89"/>
        <v>0</v>
      </c>
      <c r="J236" s="19">
        <f t="shared" si="90"/>
        <v>0</v>
      </c>
      <c r="K236" s="19">
        <v>0</v>
      </c>
      <c r="L236" s="19">
        <f t="shared" si="91"/>
        <v>0</v>
      </c>
      <c r="M236" s="33" t="s">
        <v>1177</v>
      </c>
      <c r="P236" s="37">
        <f t="shared" si="92"/>
        <v>0</v>
      </c>
      <c r="R236" s="37">
        <f t="shared" si="93"/>
        <v>0</v>
      </c>
      <c r="S236" s="37">
        <f t="shared" si="94"/>
        <v>0</v>
      </c>
      <c r="T236" s="37">
        <f t="shared" si="95"/>
        <v>0</v>
      </c>
      <c r="U236" s="37">
        <f t="shared" si="96"/>
        <v>0</v>
      </c>
      <c r="V236" s="37">
        <f t="shared" si="97"/>
        <v>0</v>
      </c>
      <c r="W236" s="37">
        <f t="shared" si="98"/>
        <v>0</v>
      </c>
      <c r="X236" s="37">
        <f t="shared" si="99"/>
        <v>0</v>
      </c>
      <c r="Y236" s="28"/>
      <c r="Z236" s="19">
        <f t="shared" si="100"/>
        <v>0</v>
      </c>
      <c r="AA236" s="19">
        <f t="shared" si="101"/>
        <v>0</v>
      </c>
      <c r="AB236" s="19">
        <f t="shared" si="102"/>
        <v>0</v>
      </c>
      <c r="AD236" s="37">
        <v>21</v>
      </c>
      <c r="AE236" s="37">
        <f t="shared" si="103"/>
        <v>0</v>
      </c>
      <c r="AF236" s="37">
        <f t="shared" si="104"/>
        <v>0</v>
      </c>
      <c r="AG236" s="33" t="s">
        <v>13</v>
      </c>
      <c r="AM236" s="37">
        <f t="shared" si="105"/>
        <v>0</v>
      </c>
      <c r="AN236" s="37">
        <f t="shared" si="106"/>
        <v>0</v>
      </c>
      <c r="AO236" s="38" t="s">
        <v>1211</v>
      </c>
      <c r="AP236" s="38" t="s">
        <v>1230</v>
      </c>
      <c r="AQ236" s="28" t="s">
        <v>1234</v>
      </c>
      <c r="AS236" s="37">
        <f t="shared" si="107"/>
        <v>0</v>
      </c>
      <c r="AT236" s="37">
        <f t="shared" si="108"/>
        <v>0</v>
      </c>
      <c r="AU236" s="37">
        <v>0</v>
      </c>
      <c r="AV236" s="37">
        <f t="shared" si="109"/>
        <v>0</v>
      </c>
    </row>
    <row r="237" spans="1:48" ht="12.75">
      <c r="A237" s="5" t="s">
        <v>182</v>
      </c>
      <c r="B237" s="5"/>
      <c r="C237" s="5" t="s">
        <v>555</v>
      </c>
      <c r="D237" s="5" t="s">
        <v>951</v>
      </c>
      <c r="E237" s="5" t="s">
        <v>1154</v>
      </c>
      <c r="F237" s="19">
        <v>12</v>
      </c>
      <c r="G237" s="19">
        <v>0</v>
      </c>
      <c r="H237" s="19">
        <f t="shared" si="88"/>
        <v>0</v>
      </c>
      <c r="I237" s="19">
        <f t="shared" si="89"/>
        <v>0</v>
      </c>
      <c r="J237" s="19">
        <f t="shared" si="90"/>
        <v>0</v>
      </c>
      <c r="K237" s="19">
        <v>0</v>
      </c>
      <c r="L237" s="19">
        <f t="shared" si="91"/>
        <v>0</v>
      </c>
      <c r="M237" s="33" t="s">
        <v>1177</v>
      </c>
      <c r="P237" s="37">
        <f t="shared" si="92"/>
        <v>0</v>
      </c>
      <c r="R237" s="37">
        <f t="shared" si="93"/>
        <v>0</v>
      </c>
      <c r="S237" s="37">
        <f t="shared" si="94"/>
        <v>0</v>
      </c>
      <c r="T237" s="37">
        <f t="shared" si="95"/>
        <v>0</v>
      </c>
      <c r="U237" s="37">
        <f t="shared" si="96"/>
        <v>0</v>
      </c>
      <c r="V237" s="37">
        <f t="shared" si="97"/>
        <v>0</v>
      </c>
      <c r="W237" s="37">
        <f t="shared" si="98"/>
        <v>0</v>
      </c>
      <c r="X237" s="37">
        <f t="shared" si="99"/>
        <v>0</v>
      </c>
      <c r="Y237" s="28"/>
      <c r="Z237" s="19">
        <f t="shared" si="100"/>
        <v>0</v>
      </c>
      <c r="AA237" s="19">
        <f t="shared" si="101"/>
        <v>0</v>
      </c>
      <c r="AB237" s="19">
        <f t="shared" si="102"/>
        <v>0</v>
      </c>
      <c r="AD237" s="37">
        <v>21</v>
      </c>
      <c r="AE237" s="37">
        <f t="shared" si="103"/>
        <v>0</v>
      </c>
      <c r="AF237" s="37">
        <f t="shared" si="104"/>
        <v>0</v>
      </c>
      <c r="AG237" s="33" t="s">
        <v>13</v>
      </c>
      <c r="AM237" s="37">
        <f t="shared" si="105"/>
        <v>0</v>
      </c>
      <c r="AN237" s="37">
        <f t="shared" si="106"/>
        <v>0</v>
      </c>
      <c r="AO237" s="38" t="s">
        <v>1211</v>
      </c>
      <c r="AP237" s="38" t="s">
        <v>1230</v>
      </c>
      <c r="AQ237" s="28" t="s">
        <v>1234</v>
      </c>
      <c r="AS237" s="37">
        <f t="shared" si="107"/>
        <v>0</v>
      </c>
      <c r="AT237" s="37">
        <f t="shared" si="108"/>
        <v>0</v>
      </c>
      <c r="AU237" s="37">
        <v>0</v>
      </c>
      <c r="AV237" s="37">
        <f t="shared" si="109"/>
        <v>0</v>
      </c>
    </row>
    <row r="238" spans="1:48" ht="12.75">
      <c r="A238" s="5" t="s">
        <v>183</v>
      </c>
      <c r="B238" s="5"/>
      <c r="C238" s="5" t="s">
        <v>556</v>
      </c>
      <c r="D238" s="5" t="s">
        <v>952</v>
      </c>
      <c r="E238" s="5" t="s">
        <v>1153</v>
      </c>
      <c r="F238" s="19">
        <v>1</v>
      </c>
      <c r="G238" s="19">
        <v>0</v>
      </c>
      <c r="H238" s="19">
        <f t="shared" si="88"/>
        <v>0</v>
      </c>
      <c r="I238" s="19">
        <f t="shared" si="89"/>
        <v>0</v>
      </c>
      <c r="J238" s="19">
        <f t="shared" si="90"/>
        <v>0</v>
      </c>
      <c r="K238" s="19">
        <v>0</v>
      </c>
      <c r="L238" s="19">
        <f t="shared" si="91"/>
        <v>0</v>
      </c>
      <c r="M238" s="33" t="s">
        <v>1177</v>
      </c>
      <c r="P238" s="37">
        <f t="shared" si="92"/>
        <v>0</v>
      </c>
      <c r="R238" s="37">
        <f t="shared" si="93"/>
        <v>0</v>
      </c>
      <c r="S238" s="37">
        <f t="shared" si="94"/>
        <v>0</v>
      </c>
      <c r="T238" s="37">
        <f t="shared" si="95"/>
        <v>0</v>
      </c>
      <c r="U238" s="37">
        <f t="shared" si="96"/>
        <v>0</v>
      </c>
      <c r="V238" s="37">
        <f t="shared" si="97"/>
        <v>0</v>
      </c>
      <c r="W238" s="37">
        <f t="shared" si="98"/>
        <v>0</v>
      </c>
      <c r="X238" s="37">
        <f t="shared" si="99"/>
        <v>0</v>
      </c>
      <c r="Y238" s="28"/>
      <c r="Z238" s="19">
        <f t="shared" si="100"/>
        <v>0</v>
      </c>
      <c r="AA238" s="19">
        <f t="shared" si="101"/>
        <v>0</v>
      </c>
      <c r="AB238" s="19">
        <f t="shared" si="102"/>
        <v>0</v>
      </c>
      <c r="AD238" s="37">
        <v>21</v>
      </c>
      <c r="AE238" s="37">
        <f t="shared" si="103"/>
        <v>0</v>
      </c>
      <c r="AF238" s="37">
        <f t="shared" si="104"/>
        <v>0</v>
      </c>
      <c r="AG238" s="33" t="s">
        <v>13</v>
      </c>
      <c r="AM238" s="37">
        <f t="shared" si="105"/>
        <v>0</v>
      </c>
      <c r="AN238" s="37">
        <f t="shared" si="106"/>
        <v>0</v>
      </c>
      <c r="AO238" s="38" t="s">
        <v>1211</v>
      </c>
      <c r="AP238" s="38" t="s">
        <v>1230</v>
      </c>
      <c r="AQ238" s="28" t="s">
        <v>1234</v>
      </c>
      <c r="AS238" s="37">
        <f t="shared" si="107"/>
        <v>0</v>
      </c>
      <c r="AT238" s="37">
        <f t="shared" si="108"/>
        <v>0</v>
      </c>
      <c r="AU238" s="37">
        <v>0</v>
      </c>
      <c r="AV238" s="37">
        <f t="shared" si="109"/>
        <v>0</v>
      </c>
    </row>
    <row r="239" spans="1:48" ht="12.75">
      <c r="A239" s="5" t="s">
        <v>184</v>
      </c>
      <c r="B239" s="5"/>
      <c r="C239" s="5" t="s">
        <v>557</v>
      </c>
      <c r="D239" s="5" t="s">
        <v>953</v>
      </c>
      <c r="E239" s="5" t="s">
        <v>1157</v>
      </c>
      <c r="F239" s="19">
        <v>2</v>
      </c>
      <c r="G239" s="19">
        <v>0</v>
      </c>
      <c r="H239" s="19">
        <f t="shared" si="88"/>
        <v>0</v>
      </c>
      <c r="I239" s="19">
        <f t="shared" si="89"/>
        <v>0</v>
      </c>
      <c r="J239" s="19">
        <f t="shared" si="90"/>
        <v>0</v>
      </c>
      <c r="K239" s="19">
        <v>0</v>
      </c>
      <c r="L239" s="19">
        <f t="shared" si="91"/>
        <v>0</v>
      </c>
      <c r="M239" s="33" t="s">
        <v>1177</v>
      </c>
      <c r="P239" s="37">
        <f t="shared" si="92"/>
        <v>0</v>
      </c>
      <c r="R239" s="37">
        <f t="shared" si="93"/>
        <v>0</v>
      </c>
      <c r="S239" s="37">
        <f t="shared" si="94"/>
        <v>0</v>
      </c>
      <c r="T239" s="37">
        <f t="shared" si="95"/>
        <v>0</v>
      </c>
      <c r="U239" s="37">
        <f t="shared" si="96"/>
        <v>0</v>
      </c>
      <c r="V239" s="37">
        <f t="shared" si="97"/>
        <v>0</v>
      </c>
      <c r="W239" s="37">
        <f t="shared" si="98"/>
        <v>0</v>
      </c>
      <c r="X239" s="37">
        <f t="shared" si="99"/>
        <v>0</v>
      </c>
      <c r="Y239" s="28"/>
      <c r="Z239" s="19">
        <f t="shared" si="100"/>
        <v>0</v>
      </c>
      <c r="AA239" s="19">
        <f t="shared" si="101"/>
        <v>0</v>
      </c>
      <c r="AB239" s="19">
        <f t="shared" si="102"/>
        <v>0</v>
      </c>
      <c r="AD239" s="37">
        <v>21</v>
      </c>
      <c r="AE239" s="37">
        <f t="shared" si="103"/>
        <v>0</v>
      </c>
      <c r="AF239" s="37">
        <f t="shared" si="104"/>
        <v>0</v>
      </c>
      <c r="AG239" s="33" t="s">
        <v>13</v>
      </c>
      <c r="AM239" s="37">
        <f t="shared" si="105"/>
        <v>0</v>
      </c>
      <c r="AN239" s="37">
        <f t="shared" si="106"/>
        <v>0</v>
      </c>
      <c r="AO239" s="38" t="s">
        <v>1211</v>
      </c>
      <c r="AP239" s="38" t="s">
        <v>1230</v>
      </c>
      <c r="AQ239" s="28" t="s">
        <v>1234</v>
      </c>
      <c r="AS239" s="37">
        <f t="shared" si="107"/>
        <v>0</v>
      </c>
      <c r="AT239" s="37">
        <f t="shared" si="108"/>
        <v>0</v>
      </c>
      <c r="AU239" s="37">
        <v>0</v>
      </c>
      <c r="AV239" s="37">
        <f t="shared" si="109"/>
        <v>0</v>
      </c>
    </row>
    <row r="240" spans="1:48" ht="12.75">
      <c r="A240" s="5" t="s">
        <v>185</v>
      </c>
      <c r="B240" s="5"/>
      <c r="C240" s="5" t="s">
        <v>558</v>
      </c>
      <c r="D240" s="5" t="s">
        <v>954</v>
      </c>
      <c r="E240" s="5" t="s">
        <v>1157</v>
      </c>
      <c r="F240" s="19">
        <v>1</v>
      </c>
      <c r="G240" s="19">
        <v>0</v>
      </c>
      <c r="H240" s="19">
        <f t="shared" si="88"/>
        <v>0</v>
      </c>
      <c r="I240" s="19">
        <f t="shared" si="89"/>
        <v>0</v>
      </c>
      <c r="J240" s="19">
        <f t="shared" si="90"/>
        <v>0</v>
      </c>
      <c r="K240" s="19">
        <v>0</v>
      </c>
      <c r="L240" s="19">
        <f t="shared" si="91"/>
        <v>0</v>
      </c>
      <c r="M240" s="33" t="s">
        <v>1177</v>
      </c>
      <c r="P240" s="37">
        <f t="shared" si="92"/>
        <v>0</v>
      </c>
      <c r="R240" s="37">
        <f t="shared" si="93"/>
        <v>0</v>
      </c>
      <c r="S240" s="37">
        <f t="shared" si="94"/>
        <v>0</v>
      </c>
      <c r="T240" s="37">
        <f t="shared" si="95"/>
        <v>0</v>
      </c>
      <c r="U240" s="37">
        <f t="shared" si="96"/>
        <v>0</v>
      </c>
      <c r="V240" s="37">
        <f t="shared" si="97"/>
        <v>0</v>
      </c>
      <c r="W240" s="37">
        <f t="shared" si="98"/>
        <v>0</v>
      </c>
      <c r="X240" s="37">
        <f t="shared" si="99"/>
        <v>0</v>
      </c>
      <c r="Y240" s="28"/>
      <c r="Z240" s="19">
        <f t="shared" si="100"/>
        <v>0</v>
      </c>
      <c r="AA240" s="19">
        <f t="shared" si="101"/>
        <v>0</v>
      </c>
      <c r="AB240" s="19">
        <f t="shared" si="102"/>
        <v>0</v>
      </c>
      <c r="AD240" s="37">
        <v>21</v>
      </c>
      <c r="AE240" s="37">
        <f t="shared" si="103"/>
        <v>0</v>
      </c>
      <c r="AF240" s="37">
        <f t="shared" si="104"/>
        <v>0</v>
      </c>
      <c r="AG240" s="33" t="s">
        <v>13</v>
      </c>
      <c r="AM240" s="37">
        <f t="shared" si="105"/>
        <v>0</v>
      </c>
      <c r="AN240" s="37">
        <f t="shared" si="106"/>
        <v>0</v>
      </c>
      <c r="AO240" s="38" t="s">
        <v>1211</v>
      </c>
      <c r="AP240" s="38" t="s">
        <v>1230</v>
      </c>
      <c r="AQ240" s="28" t="s">
        <v>1234</v>
      </c>
      <c r="AS240" s="37">
        <f t="shared" si="107"/>
        <v>0</v>
      </c>
      <c r="AT240" s="37">
        <f t="shared" si="108"/>
        <v>0</v>
      </c>
      <c r="AU240" s="37">
        <v>0</v>
      </c>
      <c r="AV240" s="37">
        <f t="shared" si="109"/>
        <v>0</v>
      </c>
    </row>
    <row r="241" spans="1:48" ht="12.75">
      <c r="A241" s="5" t="s">
        <v>186</v>
      </c>
      <c r="B241" s="5"/>
      <c r="C241" s="5" t="s">
        <v>559</v>
      </c>
      <c r="D241" s="5" t="s">
        <v>955</v>
      </c>
      <c r="E241" s="5" t="s">
        <v>1157</v>
      </c>
      <c r="F241" s="19">
        <v>1</v>
      </c>
      <c r="G241" s="19">
        <v>0</v>
      </c>
      <c r="H241" s="19">
        <f t="shared" si="88"/>
        <v>0</v>
      </c>
      <c r="I241" s="19">
        <f t="shared" si="89"/>
        <v>0</v>
      </c>
      <c r="J241" s="19">
        <f t="shared" si="90"/>
        <v>0</v>
      </c>
      <c r="K241" s="19">
        <v>0</v>
      </c>
      <c r="L241" s="19">
        <f t="shared" si="91"/>
        <v>0</v>
      </c>
      <c r="M241" s="33" t="s">
        <v>1177</v>
      </c>
      <c r="P241" s="37">
        <f t="shared" si="92"/>
        <v>0</v>
      </c>
      <c r="R241" s="37">
        <f t="shared" si="93"/>
        <v>0</v>
      </c>
      <c r="S241" s="37">
        <f t="shared" si="94"/>
        <v>0</v>
      </c>
      <c r="T241" s="37">
        <f t="shared" si="95"/>
        <v>0</v>
      </c>
      <c r="U241" s="37">
        <f t="shared" si="96"/>
        <v>0</v>
      </c>
      <c r="V241" s="37">
        <f t="shared" si="97"/>
        <v>0</v>
      </c>
      <c r="W241" s="37">
        <f t="shared" si="98"/>
        <v>0</v>
      </c>
      <c r="X241" s="37">
        <f t="shared" si="99"/>
        <v>0</v>
      </c>
      <c r="Y241" s="28"/>
      <c r="Z241" s="19">
        <f t="shared" si="100"/>
        <v>0</v>
      </c>
      <c r="AA241" s="19">
        <f t="shared" si="101"/>
        <v>0</v>
      </c>
      <c r="AB241" s="19">
        <f t="shared" si="102"/>
        <v>0</v>
      </c>
      <c r="AD241" s="37">
        <v>21</v>
      </c>
      <c r="AE241" s="37">
        <f t="shared" si="103"/>
        <v>0</v>
      </c>
      <c r="AF241" s="37">
        <f t="shared" si="104"/>
        <v>0</v>
      </c>
      <c r="AG241" s="33" t="s">
        <v>13</v>
      </c>
      <c r="AM241" s="37">
        <f t="shared" si="105"/>
        <v>0</v>
      </c>
      <c r="AN241" s="37">
        <f t="shared" si="106"/>
        <v>0</v>
      </c>
      <c r="AO241" s="38" t="s">
        <v>1211</v>
      </c>
      <c r="AP241" s="38" t="s">
        <v>1230</v>
      </c>
      <c r="AQ241" s="28" t="s">
        <v>1234</v>
      </c>
      <c r="AS241" s="37">
        <f t="shared" si="107"/>
        <v>0</v>
      </c>
      <c r="AT241" s="37">
        <f t="shared" si="108"/>
        <v>0</v>
      </c>
      <c r="AU241" s="37">
        <v>0</v>
      </c>
      <c r="AV241" s="37">
        <f t="shared" si="109"/>
        <v>0</v>
      </c>
    </row>
    <row r="242" spans="1:48" ht="12.75">
      <c r="A242" s="5" t="s">
        <v>187</v>
      </c>
      <c r="B242" s="5"/>
      <c r="C242" s="5" t="s">
        <v>560</v>
      </c>
      <c r="D242" s="5" t="s">
        <v>956</v>
      </c>
      <c r="E242" s="5" t="s">
        <v>1155</v>
      </c>
      <c r="F242" s="19">
        <v>4</v>
      </c>
      <c r="G242" s="19">
        <v>0</v>
      </c>
      <c r="H242" s="19">
        <f t="shared" si="88"/>
        <v>0</v>
      </c>
      <c r="I242" s="19">
        <f t="shared" si="89"/>
        <v>0</v>
      </c>
      <c r="J242" s="19">
        <f t="shared" si="90"/>
        <v>0</v>
      </c>
      <c r="K242" s="19">
        <v>0</v>
      </c>
      <c r="L242" s="19">
        <f t="shared" si="91"/>
        <v>0</v>
      </c>
      <c r="M242" s="33" t="s">
        <v>1177</v>
      </c>
      <c r="P242" s="37">
        <f t="shared" si="92"/>
        <v>0</v>
      </c>
      <c r="R242" s="37">
        <f t="shared" si="93"/>
        <v>0</v>
      </c>
      <c r="S242" s="37">
        <f t="shared" si="94"/>
        <v>0</v>
      </c>
      <c r="T242" s="37">
        <f t="shared" si="95"/>
        <v>0</v>
      </c>
      <c r="U242" s="37">
        <f t="shared" si="96"/>
        <v>0</v>
      </c>
      <c r="V242" s="37">
        <f t="shared" si="97"/>
        <v>0</v>
      </c>
      <c r="W242" s="37">
        <f t="shared" si="98"/>
        <v>0</v>
      </c>
      <c r="X242" s="37">
        <f t="shared" si="99"/>
        <v>0</v>
      </c>
      <c r="Y242" s="28"/>
      <c r="Z242" s="19">
        <f t="shared" si="100"/>
        <v>0</v>
      </c>
      <c r="AA242" s="19">
        <f t="shared" si="101"/>
        <v>0</v>
      </c>
      <c r="AB242" s="19">
        <f t="shared" si="102"/>
        <v>0</v>
      </c>
      <c r="AD242" s="37">
        <v>21</v>
      </c>
      <c r="AE242" s="37">
        <f t="shared" si="103"/>
        <v>0</v>
      </c>
      <c r="AF242" s="37">
        <f t="shared" si="104"/>
        <v>0</v>
      </c>
      <c r="AG242" s="33" t="s">
        <v>13</v>
      </c>
      <c r="AM242" s="37">
        <f t="shared" si="105"/>
        <v>0</v>
      </c>
      <c r="AN242" s="37">
        <f t="shared" si="106"/>
        <v>0</v>
      </c>
      <c r="AO242" s="38" t="s">
        <v>1211</v>
      </c>
      <c r="AP242" s="38" t="s">
        <v>1230</v>
      </c>
      <c r="AQ242" s="28" t="s">
        <v>1234</v>
      </c>
      <c r="AS242" s="37">
        <f t="shared" si="107"/>
        <v>0</v>
      </c>
      <c r="AT242" s="37">
        <f t="shared" si="108"/>
        <v>0</v>
      </c>
      <c r="AU242" s="37">
        <v>0</v>
      </c>
      <c r="AV242" s="37">
        <f t="shared" si="109"/>
        <v>0</v>
      </c>
    </row>
    <row r="243" spans="1:48" ht="12.75">
      <c r="A243" s="5" t="s">
        <v>188</v>
      </c>
      <c r="B243" s="5"/>
      <c r="C243" s="5" t="s">
        <v>561</v>
      </c>
      <c r="D243" s="5" t="s">
        <v>957</v>
      </c>
      <c r="E243" s="5" t="s">
        <v>1154</v>
      </c>
      <c r="F243" s="19">
        <v>40</v>
      </c>
      <c r="G243" s="19">
        <v>0</v>
      </c>
      <c r="H243" s="19">
        <f t="shared" si="88"/>
        <v>0</v>
      </c>
      <c r="I243" s="19">
        <f t="shared" si="89"/>
        <v>0</v>
      </c>
      <c r="J243" s="19">
        <f t="shared" si="90"/>
        <v>0</v>
      </c>
      <c r="K243" s="19">
        <v>0</v>
      </c>
      <c r="L243" s="19">
        <f t="shared" si="91"/>
        <v>0</v>
      </c>
      <c r="M243" s="33" t="s">
        <v>1177</v>
      </c>
      <c r="P243" s="37">
        <f t="shared" si="92"/>
        <v>0</v>
      </c>
      <c r="R243" s="37">
        <f t="shared" si="93"/>
        <v>0</v>
      </c>
      <c r="S243" s="37">
        <f t="shared" si="94"/>
        <v>0</v>
      </c>
      <c r="T243" s="37">
        <f t="shared" si="95"/>
        <v>0</v>
      </c>
      <c r="U243" s="37">
        <f t="shared" si="96"/>
        <v>0</v>
      </c>
      <c r="V243" s="37">
        <f t="shared" si="97"/>
        <v>0</v>
      </c>
      <c r="W243" s="37">
        <f t="shared" si="98"/>
        <v>0</v>
      </c>
      <c r="X243" s="37">
        <f t="shared" si="99"/>
        <v>0</v>
      </c>
      <c r="Y243" s="28"/>
      <c r="Z243" s="19">
        <f t="shared" si="100"/>
        <v>0</v>
      </c>
      <c r="AA243" s="19">
        <f t="shared" si="101"/>
        <v>0</v>
      </c>
      <c r="AB243" s="19">
        <f t="shared" si="102"/>
        <v>0</v>
      </c>
      <c r="AD243" s="37">
        <v>21</v>
      </c>
      <c r="AE243" s="37">
        <f t="shared" si="103"/>
        <v>0</v>
      </c>
      <c r="AF243" s="37">
        <f t="shared" si="104"/>
        <v>0</v>
      </c>
      <c r="AG243" s="33" t="s">
        <v>13</v>
      </c>
      <c r="AM243" s="37">
        <f t="shared" si="105"/>
        <v>0</v>
      </c>
      <c r="AN243" s="37">
        <f t="shared" si="106"/>
        <v>0</v>
      </c>
      <c r="AO243" s="38" t="s">
        <v>1211</v>
      </c>
      <c r="AP243" s="38" t="s">
        <v>1230</v>
      </c>
      <c r="AQ243" s="28" t="s">
        <v>1234</v>
      </c>
      <c r="AS243" s="37">
        <f t="shared" si="107"/>
        <v>0</v>
      </c>
      <c r="AT243" s="37">
        <f t="shared" si="108"/>
        <v>0</v>
      </c>
      <c r="AU243" s="37">
        <v>0</v>
      </c>
      <c r="AV243" s="37">
        <f t="shared" si="109"/>
        <v>0</v>
      </c>
    </row>
    <row r="244" spans="1:48" ht="12.75">
      <c r="A244" s="5" t="s">
        <v>189</v>
      </c>
      <c r="B244" s="5"/>
      <c r="C244" s="5" t="s">
        <v>562</v>
      </c>
      <c r="D244" s="5" t="s">
        <v>958</v>
      </c>
      <c r="E244" s="5" t="s">
        <v>1154</v>
      </c>
      <c r="F244" s="19">
        <v>40</v>
      </c>
      <c r="G244" s="19">
        <v>0</v>
      </c>
      <c r="H244" s="19">
        <f t="shared" si="88"/>
        <v>0</v>
      </c>
      <c r="I244" s="19">
        <f t="shared" si="89"/>
        <v>0</v>
      </c>
      <c r="J244" s="19">
        <f t="shared" si="90"/>
        <v>0</v>
      </c>
      <c r="K244" s="19">
        <v>0</v>
      </c>
      <c r="L244" s="19">
        <f t="shared" si="91"/>
        <v>0</v>
      </c>
      <c r="M244" s="33" t="s">
        <v>1177</v>
      </c>
      <c r="P244" s="37">
        <f t="shared" si="92"/>
        <v>0</v>
      </c>
      <c r="R244" s="37">
        <f t="shared" si="93"/>
        <v>0</v>
      </c>
      <c r="S244" s="37">
        <f t="shared" si="94"/>
        <v>0</v>
      </c>
      <c r="T244" s="37">
        <f t="shared" si="95"/>
        <v>0</v>
      </c>
      <c r="U244" s="37">
        <f t="shared" si="96"/>
        <v>0</v>
      </c>
      <c r="V244" s="37">
        <f t="shared" si="97"/>
        <v>0</v>
      </c>
      <c r="W244" s="37">
        <f t="shared" si="98"/>
        <v>0</v>
      </c>
      <c r="X244" s="37">
        <f t="shared" si="99"/>
        <v>0</v>
      </c>
      <c r="Y244" s="28"/>
      <c r="Z244" s="19">
        <f t="shared" si="100"/>
        <v>0</v>
      </c>
      <c r="AA244" s="19">
        <f t="shared" si="101"/>
        <v>0</v>
      </c>
      <c r="AB244" s="19">
        <f t="shared" si="102"/>
        <v>0</v>
      </c>
      <c r="AD244" s="37">
        <v>21</v>
      </c>
      <c r="AE244" s="37">
        <f t="shared" si="103"/>
        <v>0</v>
      </c>
      <c r="AF244" s="37">
        <f t="shared" si="104"/>
        <v>0</v>
      </c>
      <c r="AG244" s="33" t="s">
        <v>13</v>
      </c>
      <c r="AM244" s="37">
        <f t="shared" si="105"/>
        <v>0</v>
      </c>
      <c r="AN244" s="37">
        <f t="shared" si="106"/>
        <v>0</v>
      </c>
      <c r="AO244" s="38" t="s">
        <v>1211</v>
      </c>
      <c r="AP244" s="38" t="s">
        <v>1230</v>
      </c>
      <c r="AQ244" s="28" t="s">
        <v>1234</v>
      </c>
      <c r="AS244" s="37">
        <f t="shared" si="107"/>
        <v>0</v>
      </c>
      <c r="AT244" s="37">
        <f t="shared" si="108"/>
        <v>0</v>
      </c>
      <c r="AU244" s="37">
        <v>0</v>
      </c>
      <c r="AV244" s="37">
        <f t="shared" si="109"/>
        <v>0</v>
      </c>
    </row>
    <row r="245" spans="1:48" ht="12.75">
      <c r="A245" s="5" t="s">
        <v>190</v>
      </c>
      <c r="B245" s="5"/>
      <c r="C245" s="5" t="s">
        <v>563</v>
      </c>
      <c r="D245" s="5" t="s">
        <v>959</v>
      </c>
      <c r="E245" s="5" t="s">
        <v>1154</v>
      </c>
      <c r="F245" s="19">
        <v>60</v>
      </c>
      <c r="G245" s="19">
        <v>0</v>
      </c>
      <c r="H245" s="19">
        <f t="shared" si="88"/>
        <v>0</v>
      </c>
      <c r="I245" s="19">
        <f t="shared" si="89"/>
        <v>0</v>
      </c>
      <c r="J245" s="19">
        <f t="shared" si="90"/>
        <v>0</v>
      </c>
      <c r="K245" s="19">
        <v>0</v>
      </c>
      <c r="L245" s="19">
        <f t="shared" si="91"/>
        <v>0</v>
      </c>
      <c r="M245" s="33" t="s">
        <v>1177</v>
      </c>
      <c r="P245" s="37">
        <f t="shared" si="92"/>
        <v>0</v>
      </c>
      <c r="R245" s="37">
        <f t="shared" si="93"/>
        <v>0</v>
      </c>
      <c r="S245" s="37">
        <f t="shared" si="94"/>
        <v>0</v>
      </c>
      <c r="T245" s="37">
        <f t="shared" si="95"/>
        <v>0</v>
      </c>
      <c r="U245" s="37">
        <f t="shared" si="96"/>
        <v>0</v>
      </c>
      <c r="V245" s="37">
        <f t="shared" si="97"/>
        <v>0</v>
      </c>
      <c r="W245" s="37">
        <f t="shared" si="98"/>
        <v>0</v>
      </c>
      <c r="X245" s="37">
        <f t="shared" si="99"/>
        <v>0</v>
      </c>
      <c r="Y245" s="28"/>
      <c r="Z245" s="19">
        <f t="shared" si="100"/>
        <v>0</v>
      </c>
      <c r="AA245" s="19">
        <f t="shared" si="101"/>
        <v>0</v>
      </c>
      <c r="AB245" s="19">
        <f t="shared" si="102"/>
        <v>0</v>
      </c>
      <c r="AD245" s="37">
        <v>21</v>
      </c>
      <c r="AE245" s="37">
        <f t="shared" si="103"/>
        <v>0</v>
      </c>
      <c r="AF245" s="37">
        <f t="shared" si="104"/>
        <v>0</v>
      </c>
      <c r="AG245" s="33" t="s">
        <v>13</v>
      </c>
      <c r="AM245" s="37">
        <f t="shared" si="105"/>
        <v>0</v>
      </c>
      <c r="AN245" s="37">
        <f t="shared" si="106"/>
        <v>0</v>
      </c>
      <c r="AO245" s="38" t="s">
        <v>1211</v>
      </c>
      <c r="AP245" s="38" t="s">
        <v>1230</v>
      </c>
      <c r="AQ245" s="28" t="s">
        <v>1234</v>
      </c>
      <c r="AS245" s="37">
        <f t="shared" si="107"/>
        <v>0</v>
      </c>
      <c r="AT245" s="37">
        <f t="shared" si="108"/>
        <v>0</v>
      </c>
      <c r="AU245" s="37">
        <v>0</v>
      </c>
      <c r="AV245" s="37">
        <f t="shared" si="109"/>
        <v>0</v>
      </c>
    </row>
    <row r="246" spans="1:48" ht="12.75">
      <c r="A246" s="5" t="s">
        <v>191</v>
      </c>
      <c r="B246" s="5"/>
      <c r="C246" s="5" t="s">
        <v>564</v>
      </c>
      <c r="D246" s="5" t="s">
        <v>960</v>
      </c>
      <c r="E246" s="5" t="s">
        <v>1154</v>
      </c>
      <c r="F246" s="19">
        <v>60</v>
      </c>
      <c r="G246" s="19">
        <v>0</v>
      </c>
      <c r="H246" s="19">
        <f t="shared" si="88"/>
        <v>0</v>
      </c>
      <c r="I246" s="19">
        <f t="shared" si="89"/>
        <v>0</v>
      </c>
      <c r="J246" s="19">
        <f t="shared" si="90"/>
        <v>0</v>
      </c>
      <c r="K246" s="19">
        <v>0</v>
      </c>
      <c r="L246" s="19">
        <f t="shared" si="91"/>
        <v>0</v>
      </c>
      <c r="M246" s="33" t="s">
        <v>1177</v>
      </c>
      <c r="P246" s="37">
        <f t="shared" si="92"/>
        <v>0</v>
      </c>
      <c r="R246" s="37">
        <f t="shared" si="93"/>
        <v>0</v>
      </c>
      <c r="S246" s="37">
        <f t="shared" si="94"/>
        <v>0</v>
      </c>
      <c r="T246" s="37">
        <f t="shared" si="95"/>
        <v>0</v>
      </c>
      <c r="U246" s="37">
        <f t="shared" si="96"/>
        <v>0</v>
      </c>
      <c r="V246" s="37">
        <f t="shared" si="97"/>
        <v>0</v>
      </c>
      <c r="W246" s="37">
        <f t="shared" si="98"/>
        <v>0</v>
      </c>
      <c r="X246" s="37">
        <f t="shared" si="99"/>
        <v>0</v>
      </c>
      <c r="Y246" s="28"/>
      <c r="Z246" s="19">
        <f t="shared" si="100"/>
        <v>0</v>
      </c>
      <c r="AA246" s="19">
        <f t="shared" si="101"/>
        <v>0</v>
      </c>
      <c r="AB246" s="19">
        <f t="shared" si="102"/>
        <v>0</v>
      </c>
      <c r="AD246" s="37">
        <v>21</v>
      </c>
      <c r="AE246" s="37">
        <f t="shared" si="103"/>
        <v>0</v>
      </c>
      <c r="AF246" s="37">
        <f t="shared" si="104"/>
        <v>0</v>
      </c>
      <c r="AG246" s="33" t="s">
        <v>13</v>
      </c>
      <c r="AM246" s="37">
        <f t="shared" si="105"/>
        <v>0</v>
      </c>
      <c r="AN246" s="37">
        <f t="shared" si="106"/>
        <v>0</v>
      </c>
      <c r="AO246" s="38" t="s">
        <v>1211</v>
      </c>
      <c r="AP246" s="38" t="s">
        <v>1230</v>
      </c>
      <c r="AQ246" s="28" t="s">
        <v>1234</v>
      </c>
      <c r="AS246" s="37">
        <f t="shared" si="107"/>
        <v>0</v>
      </c>
      <c r="AT246" s="37">
        <f t="shared" si="108"/>
        <v>0</v>
      </c>
      <c r="AU246" s="37">
        <v>0</v>
      </c>
      <c r="AV246" s="37">
        <f t="shared" si="109"/>
        <v>0</v>
      </c>
    </row>
    <row r="247" spans="1:48" ht="12.75">
      <c r="A247" s="5" t="s">
        <v>192</v>
      </c>
      <c r="B247" s="5"/>
      <c r="C247" s="5" t="s">
        <v>565</v>
      </c>
      <c r="D247" s="5" t="s">
        <v>961</v>
      </c>
      <c r="E247" s="5" t="s">
        <v>1154</v>
      </c>
      <c r="F247" s="19">
        <v>40</v>
      </c>
      <c r="G247" s="19">
        <v>0</v>
      </c>
      <c r="H247" s="19">
        <f t="shared" si="88"/>
        <v>0</v>
      </c>
      <c r="I247" s="19">
        <f t="shared" si="89"/>
        <v>0</v>
      </c>
      <c r="J247" s="19">
        <f t="shared" si="90"/>
        <v>0</v>
      </c>
      <c r="K247" s="19">
        <v>0</v>
      </c>
      <c r="L247" s="19">
        <f t="shared" si="91"/>
        <v>0</v>
      </c>
      <c r="M247" s="33" t="s">
        <v>1177</v>
      </c>
      <c r="P247" s="37">
        <f t="shared" si="92"/>
        <v>0</v>
      </c>
      <c r="R247" s="37">
        <f t="shared" si="93"/>
        <v>0</v>
      </c>
      <c r="S247" s="37">
        <f t="shared" si="94"/>
        <v>0</v>
      </c>
      <c r="T247" s="37">
        <f t="shared" si="95"/>
        <v>0</v>
      </c>
      <c r="U247" s="37">
        <f t="shared" si="96"/>
        <v>0</v>
      </c>
      <c r="V247" s="37">
        <f t="shared" si="97"/>
        <v>0</v>
      </c>
      <c r="W247" s="37">
        <f t="shared" si="98"/>
        <v>0</v>
      </c>
      <c r="X247" s="37">
        <f t="shared" si="99"/>
        <v>0</v>
      </c>
      <c r="Y247" s="28"/>
      <c r="Z247" s="19">
        <f t="shared" si="100"/>
        <v>0</v>
      </c>
      <c r="AA247" s="19">
        <f t="shared" si="101"/>
        <v>0</v>
      </c>
      <c r="AB247" s="19">
        <f t="shared" si="102"/>
        <v>0</v>
      </c>
      <c r="AD247" s="37">
        <v>21</v>
      </c>
      <c r="AE247" s="37">
        <f t="shared" si="103"/>
        <v>0</v>
      </c>
      <c r="AF247" s="37">
        <f t="shared" si="104"/>
        <v>0</v>
      </c>
      <c r="AG247" s="33" t="s">
        <v>13</v>
      </c>
      <c r="AM247" s="37">
        <f t="shared" si="105"/>
        <v>0</v>
      </c>
      <c r="AN247" s="37">
        <f t="shared" si="106"/>
        <v>0</v>
      </c>
      <c r="AO247" s="38" t="s">
        <v>1211</v>
      </c>
      <c r="AP247" s="38" t="s">
        <v>1230</v>
      </c>
      <c r="AQ247" s="28" t="s">
        <v>1234</v>
      </c>
      <c r="AS247" s="37">
        <f t="shared" si="107"/>
        <v>0</v>
      </c>
      <c r="AT247" s="37">
        <f t="shared" si="108"/>
        <v>0</v>
      </c>
      <c r="AU247" s="37">
        <v>0</v>
      </c>
      <c r="AV247" s="37">
        <f t="shared" si="109"/>
        <v>0</v>
      </c>
    </row>
    <row r="248" spans="1:48" ht="12.75">
      <c r="A248" s="5" t="s">
        <v>193</v>
      </c>
      <c r="B248" s="5"/>
      <c r="C248" s="5" t="s">
        <v>566</v>
      </c>
      <c r="D248" s="5" t="s">
        <v>961</v>
      </c>
      <c r="E248" s="5" t="s">
        <v>1154</v>
      </c>
      <c r="F248" s="19">
        <v>40</v>
      </c>
      <c r="G248" s="19">
        <v>0</v>
      </c>
      <c r="H248" s="19">
        <f t="shared" si="88"/>
        <v>0</v>
      </c>
      <c r="I248" s="19">
        <f t="shared" si="89"/>
        <v>0</v>
      </c>
      <c r="J248" s="19">
        <f t="shared" si="90"/>
        <v>0</v>
      </c>
      <c r="K248" s="19">
        <v>0</v>
      </c>
      <c r="L248" s="19">
        <f t="shared" si="91"/>
        <v>0</v>
      </c>
      <c r="M248" s="33" t="s">
        <v>1177</v>
      </c>
      <c r="P248" s="37">
        <f t="shared" si="92"/>
        <v>0</v>
      </c>
      <c r="R248" s="37">
        <f t="shared" si="93"/>
        <v>0</v>
      </c>
      <c r="S248" s="37">
        <f t="shared" si="94"/>
        <v>0</v>
      </c>
      <c r="T248" s="37">
        <f t="shared" si="95"/>
        <v>0</v>
      </c>
      <c r="U248" s="37">
        <f t="shared" si="96"/>
        <v>0</v>
      </c>
      <c r="V248" s="37">
        <f t="shared" si="97"/>
        <v>0</v>
      </c>
      <c r="W248" s="37">
        <f t="shared" si="98"/>
        <v>0</v>
      </c>
      <c r="X248" s="37">
        <f t="shared" si="99"/>
        <v>0</v>
      </c>
      <c r="Y248" s="28"/>
      <c r="Z248" s="19">
        <f t="shared" si="100"/>
        <v>0</v>
      </c>
      <c r="AA248" s="19">
        <f t="shared" si="101"/>
        <v>0</v>
      </c>
      <c r="AB248" s="19">
        <f t="shared" si="102"/>
        <v>0</v>
      </c>
      <c r="AD248" s="37">
        <v>21</v>
      </c>
      <c r="AE248" s="37">
        <f t="shared" si="103"/>
        <v>0</v>
      </c>
      <c r="AF248" s="37">
        <f t="shared" si="104"/>
        <v>0</v>
      </c>
      <c r="AG248" s="33" t="s">
        <v>13</v>
      </c>
      <c r="AM248" s="37">
        <f t="shared" si="105"/>
        <v>0</v>
      </c>
      <c r="AN248" s="37">
        <f t="shared" si="106"/>
        <v>0</v>
      </c>
      <c r="AO248" s="38" t="s">
        <v>1211</v>
      </c>
      <c r="AP248" s="38" t="s">
        <v>1230</v>
      </c>
      <c r="AQ248" s="28" t="s">
        <v>1234</v>
      </c>
      <c r="AS248" s="37">
        <f t="shared" si="107"/>
        <v>0</v>
      </c>
      <c r="AT248" s="37">
        <f t="shared" si="108"/>
        <v>0</v>
      </c>
      <c r="AU248" s="37">
        <v>0</v>
      </c>
      <c r="AV248" s="37">
        <f t="shared" si="109"/>
        <v>0</v>
      </c>
    </row>
    <row r="249" spans="1:48" ht="12.75">
      <c r="A249" s="5" t="s">
        <v>194</v>
      </c>
      <c r="B249" s="5"/>
      <c r="C249" s="5" t="s">
        <v>567</v>
      </c>
      <c r="D249" s="5" t="s">
        <v>962</v>
      </c>
      <c r="E249" s="5" t="s">
        <v>1157</v>
      </c>
      <c r="F249" s="19">
        <v>24</v>
      </c>
      <c r="G249" s="19">
        <v>0</v>
      </c>
      <c r="H249" s="19">
        <f t="shared" si="88"/>
        <v>0</v>
      </c>
      <c r="I249" s="19">
        <f t="shared" si="89"/>
        <v>0</v>
      </c>
      <c r="J249" s="19">
        <f t="shared" si="90"/>
        <v>0</v>
      </c>
      <c r="K249" s="19">
        <v>0</v>
      </c>
      <c r="L249" s="19">
        <f t="shared" si="91"/>
        <v>0</v>
      </c>
      <c r="M249" s="33" t="s">
        <v>1177</v>
      </c>
      <c r="P249" s="37">
        <f t="shared" si="92"/>
        <v>0</v>
      </c>
      <c r="R249" s="37">
        <f t="shared" si="93"/>
        <v>0</v>
      </c>
      <c r="S249" s="37">
        <f t="shared" si="94"/>
        <v>0</v>
      </c>
      <c r="T249" s="37">
        <f t="shared" si="95"/>
        <v>0</v>
      </c>
      <c r="U249" s="37">
        <f t="shared" si="96"/>
        <v>0</v>
      </c>
      <c r="V249" s="37">
        <f t="shared" si="97"/>
        <v>0</v>
      </c>
      <c r="W249" s="37">
        <f t="shared" si="98"/>
        <v>0</v>
      </c>
      <c r="X249" s="37">
        <f t="shared" si="99"/>
        <v>0</v>
      </c>
      <c r="Y249" s="28"/>
      <c r="Z249" s="19">
        <f t="shared" si="100"/>
        <v>0</v>
      </c>
      <c r="AA249" s="19">
        <f t="shared" si="101"/>
        <v>0</v>
      </c>
      <c r="AB249" s="19">
        <f t="shared" si="102"/>
        <v>0</v>
      </c>
      <c r="AD249" s="37">
        <v>21</v>
      </c>
      <c r="AE249" s="37">
        <f t="shared" si="103"/>
        <v>0</v>
      </c>
      <c r="AF249" s="37">
        <f t="shared" si="104"/>
        <v>0</v>
      </c>
      <c r="AG249" s="33" t="s">
        <v>13</v>
      </c>
      <c r="AM249" s="37">
        <f t="shared" si="105"/>
        <v>0</v>
      </c>
      <c r="AN249" s="37">
        <f t="shared" si="106"/>
        <v>0</v>
      </c>
      <c r="AO249" s="38" t="s">
        <v>1211</v>
      </c>
      <c r="AP249" s="38" t="s">
        <v>1230</v>
      </c>
      <c r="AQ249" s="28" t="s">
        <v>1234</v>
      </c>
      <c r="AS249" s="37">
        <f t="shared" si="107"/>
        <v>0</v>
      </c>
      <c r="AT249" s="37">
        <f t="shared" si="108"/>
        <v>0</v>
      </c>
      <c r="AU249" s="37">
        <v>0</v>
      </c>
      <c r="AV249" s="37">
        <f t="shared" si="109"/>
        <v>0</v>
      </c>
    </row>
    <row r="250" spans="1:48" ht="12.75">
      <c r="A250" s="5" t="s">
        <v>195</v>
      </c>
      <c r="B250" s="5"/>
      <c r="C250" s="5" t="s">
        <v>568</v>
      </c>
      <c r="D250" s="5" t="s">
        <v>963</v>
      </c>
      <c r="E250" s="5" t="s">
        <v>1153</v>
      </c>
      <c r="F250" s="19">
        <v>9</v>
      </c>
      <c r="G250" s="19">
        <v>0</v>
      </c>
      <c r="H250" s="19">
        <f t="shared" si="88"/>
        <v>0</v>
      </c>
      <c r="I250" s="19">
        <f t="shared" si="89"/>
        <v>0</v>
      </c>
      <c r="J250" s="19">
        <f t="shared" si="90"/>
        <v>0</v>
      </c>
      <c r="K250" s="19">
        <v>0</v>
      </c>
      <c r="L250" s="19">
        <f t="shared" si="91"/>
        <v>0</v>
      </c>
      <c r="M250" s="33" t="s">
        <v>1177</v>
      </c>
      <c r="P250" s="37">
        <f t="shared" si="92"/>
        <v>0</v>
      </c>
      <c r="R250" s="37">
        <f t="shared" si="93"/>
        <v>0</v>
      </c>
      <c r="S250" s="37">
        <f t="shared" si="94"/>
        <v>0</v>
      </c>
      <c r="T250" s="37">
        <f t="shared" si="95"/>
        <v>0</v>
      </c>
      <c r="U250" s="37">
        <f t="shared" si="96"/>
        <v>0</v>
      </c>
      <c r="V250" s="37">
        <f t="shared" si="97"/>
        <v>0</v>
      </c>
      <c r="W250" s="37">
        <f t="shared" si="98"/>
        <v>0</v>
      </c>
      <c r="X250" s="37">
        <f t="shared" si="99"/>
        <v>0</v>
      </c>
      <c r="Y250" s="28"/>
      <c r="Z250" s="19">
        <f t="shared" si="100"/>
        <v>0</v>
      </c>
      <c r="AA250" s="19">
        <f t="shared" si="101"/>
        <v>0</v>
      </c>
      <c r="AB250" s="19">
        <f t="shared" si="102"/>
        <v>0</v>
      </c>
      <c r="AD250" s="37">
        <v>21</v>
      </c>
      <c r="AE250" s="37">
        <f t="shared" si="103"/>
        <v>0</v>
      </c>
      <c r="AF250" s="37">
        <f t="shared" si="104"/>
        <v>0</v>
      </c>
      <c r="AG250" s="33" t="s">
        <v>13</v>
      </c>
      <c r="AM250" s="37">
        <f t="shared" si="105"/>
        <v>0</v>
      </c>
      <c r="AN250" s="37">
        <f t="shared" si="106"/>
        <v>0</v>
      </c>
      <c r="AO250" s="38" t="s">
        <v>1211</v>
      </c>
      <c r="AP250" s="38" t="s">
        <v>1230</v>
      </c>
      <c r="AQ250" s="28" t="s">
        <v>1234</v>
      </c>
      <c r="AS250" s="37">
        <f t="shared" si="107"/>
        <v>0</v>
      </c>
      <c r="AT250" s="37">
        <f t="shared" si="108"/>
        <v>0</v>
      </c>
      <c r="AU250" s="37">
        <v>0</v>
      </c>
      <c r="AV250" s="37">
        <f t="shared" si="109"/>
        <v>0</v>
      </c>
    </row>
    <row r="251" spans="1:48" ht="12.75">
      <c r="A251" s="5" t="s">
        <v>196</v>
      </c>
      <c r="B251" s="5"/>
      <c r="C251" s="5" t="s">
        <v>569</v>
      </c>
      <c r="D251" s="5" t="s">
        <v>964</v>
      </c>
      <c r="E251" s="5" t="s">
        <v>1153</v>
      </c>
      <c r="F251" s="19">
        <v>1</v>
      </c>
      <c r="G251" s="19">
        <v>0</v>
      </c>
      <c r="H251" s="19">
        <f t="shared" si="88"/>
        <v>0</v>
      </c>
      <c r="I251" s="19">
        <f t="shared" si="89"/>
        <v>0</v>
      </c>
      <c r="J251" s="19">
        <f t="shared" si="90"/>
        <v>0</v>
      </c>
      <c r="K251" s="19">
        <v>0</v>
      </c>
      <c r="L251" s="19">
        <f t="shared" si="91"/>
        <v>0</v>
      </c>
      <c r="M251" s="33" t="s">
        <v>1177</v>
      </c>
      <c r="P251" s="37">
        <f t="shared" si="92"/>
        <v>0</v>
      </c>
      <c r="R251" s="37">
        <f t="shared" si="93"/>
        <v>0</v>
      </c>
      <c r="S251" s="37">
        <f t="shared" si="94"/>
        <v>0</v>
      </c>
      <c r="T251" s="37">
        <f t="shared" si="95"/>
        <v>0</v>
      </c>
      <c r="U251" s="37">
        <f t="shared" si="96"/>
        <v>0</v>
      </c>
      <c r="V251" s="37">
        <f t="shared" si="97"/>
        <v>0</v>
      </c>
      <c r="W251" s="37">
        <f t="shared" si="98"/>
        <v>0</v>
      </c>
      <c r="X251" s="37">
        <f t="shared" si="99"/>
        <v>0</v>
      </c>
      <c r="Y251" s="28"/>
      <c r="Z251" s="19">
        <f t="shared" si="100"/>
        <v>0</v>
      </c>
      <c r="AA251" s="19">
        <f t="shared" si="101"/>
        <v>0</v>
      </c>
      <c r="AB251" s="19">
        <f t="shared" si="102"/>
        <v>0</v>
      </c>
      <c r="AD251" s="37">
        <v>21</v>
      </c>
      <c r="AE251" s="37">
        <f t="shared" si="103"/>
        <v>0</v>
      </c>
      <c r="AF251" s="37">
        <f t="shared" si="104"/>
        <v>0</v>
      </c>
      <c r="AG251" s="33" t="s">
        <v>13</v>
      </c>
      <c r="AM251" s="37">
        <f t="shared" si="105"/>
        <v>0</v>
      </c>
      <c r="AN251" s="37">
        <f t="shared" si="106"/>
        <v>0</v>
      </c>
      <c r="AO251" s="38" t="s">
        <v>1211</v>
      </c>
      <c r="AP251" s="38" t="s">
        <v>1230</v>
      </c>
      <c r="AQ251" s="28" t="s">
        <v>1234</v>
      </c>
      <c r="AS251" s="37">
        <f t="shared" si="107"/>
        <v>0</v>
      </c>
      <c r="AT251" s="37">
        <f t="shared" si="108"/>
        <v>0</v>
      </c>
      <c r="AU251" s="37">
        <v>0</v>
      </c>
      <c r="AV251" s="37">
        <f t="shared" si="109"/>
        <v>0</v>
      </c>
    </row>
    <row r="252" spans="1:48" ht="12.75">
      <c r="A252" s="5" t="s">
        <v>197</v>
      </c>
      <c r="B252" s="5"/>
      <c r="C252" s="5" t="s">
        <v>570</v>
      </c>
      <c r="D252" s="5" t="s">
        <v>965</v>
      </c>
      <c r="E252" s="5" t="s">
        <v>1153</v>
      </c>
      <c r="F252" s="19">
        <v>2</v>
      </c>
      <c r="G252" s="19">
        <v>0</v>
      </c>
      <c r="H252" s="19">
        <f t="shared" si="88"/>
        <v>0</v>
      </c>
      <c r="I252" s="19">
        <f t="shared" si="89"/>
        <v>0</v>
      </c>
      <c r="J252" s="19">
        <f t="shared" si="90"/>
        <v>0</v>
      </c>
      <c r="K252" s="19">
        <v>0</v>
      </c>
      <c r="L252" s="19">
        <f t="shared" si="91"/>
        <v>0</v>
      </c>
      <c r="M252" s="33" t="s">
        <v>1177</v>
      </c>
      <c r="P252" s="37">
        <f t="shared" si="92"/>
        <v>0</v>
      </c>
      <c r="R252" s="37">
        <f t="shared" si="93"/>
        <v>0</v>
      </c>
      <c r="S252" s="37">
        <f t="shared" si="94"/>
        <v>0</v>
      </c>
      <c r="T252" s="37">
        <f t="shared" si="95"/>
        <v>0</v>
      </c>
      <c r="U252" s="37">
        <f t="shared" si="96"/>
        <v>0</v>
      </c>
      <c r="V252" s="37">
        <f t="shared" si="97"/>
        <v>0</v>
      </c>
      <c r="W252" s="37">
        <f t="shared" si="98"/>
        <v>0</v>
      </c>
      <c r="X252" s="37">
        <f t="shared" si="99"/>
        <v>0</v>
      </c>
      <c r="Y252" s="28"/>
      <c r="Z252" s="19">
        <f t="shared" si="100"/>
        <v>0</v>
      </c>
      <c r="AA252" s="19">
        <f t="shared" si="101"/>
        <v>0</v>
      </c>
      <c r="AB252" s="19">
        <f t="shared" si="102"/>
        <v>0</v>
      </c>
      <c r="AD252" s="37">
        <v>21</v>
      </c>
      <c r="AE252" s="37">
        <f t="shared" si="103"/>
        <v>0</v>
      </c>
      <c r="AF252" s="37">
        <f t="shared" si="104"/>
        <v>0</v>
      </c>
      <c r="AG252" s="33" t="s">
        <v>13</v>
      </c>
      <c r="AM252" s="37">
        <f t="shared" si="105"/>
        <v>0</v>
      </c>
      <c r="AN252" s="37">
        <f t="shared" si="106"/>
        <v>0</v>
      </c>
      <c r="AO252" s="38" t="s">
        <v>1211</v>
      </c>
      <c r="AP252" s="38" t="s">
        <v>1230</v>
      </c>
      <c r="AQ252" s="28" t="s">
        <v>1234</v>
      </c>
      <c r="AS252" s="37">
        <f t="shared" si="107"/>
        <v>0</v>
      </c>
      <c r="AT252" s="37">
        <f t="shared" si="108"/>
        <v>0</v>
      </c>
      <c r="AU252" s="37">
        <v>0</v>
      </c>
      <c r="AV252" s="37">
        <f t="shared" si="109"/>
        <v>0</v>
      </c>
    </row>
    <row r="253" spans="1:48" ht="12.75">
      <c r="A253" s="7" t="s">
        <v>198</v>
      </c>
      <c r="B253" s="7"/>
      <c r="C253" s="7" t="s">
        <v>571</v>
      </c>
      <c r="D253" s="7" t="s">
        <v>966</v>
      </c>
      <c r="E253" s="7" t="s">
        <v>1153</v>
      </c>
      <c r="F253" s="20">
        <v>12</v>
      </c>
      <c r="G253" s="20">
        <v>0</v>
      </c>
      <c r="H253" s="20">
        <f t="shared" si="88"/>
        <v>0</v>
      </c>
      <c r="I253" s="20">
        <f t="shared" si="89"/>
        <v>0</v>
      </c>
      <c r="J253" s="20">
        <f t="shared" si="90"/>
        <v>0</v>
      </c>
      <c r="K253" s="20">
        <v>0</v>
      </c>
      <c r="L253" s="20">
        <f t="shared" si="91"/>
        <v>0</v>
      </c>
      <c r="M253" s="34" t="s">
        <v>1177</v>
      </c>
      <c r="P253" s="37">
        <f t="shared" si="92"/>
        <v>0</v>
      </c>
      <c r="R253" s="37">
        <f t="shared" si="93"/>
        <v>0</v>
      </c>
      <c r="S253" s="37">
        <f t="shared" si="94"/>
        <v>0</v>
      </c>
      <c r="T253" s="37">
        <f t="shared" si="95"/>
        <v>0</v>
      </c>
      <c r="U253" s="37">
        <f t="shared" si="96"/>
        <v>0</v>
      </c>
      <c r="V253" s="37">
        <f t="shared" si="97"/>
        <v>0</v>
      </c>
      <c r="W253" s="37">
        <f t="shared" si="98"/>
        <v>0</v>
      </c>
      <c r="X253" s="37">
        <f t="shared" si="99"/>
        <v>0</v>
      </c>
      <c r="Y253" s="28"/>
      <c r="Z253" s="20">
        <f t="shared" si="100"/>
        <v>0</v>
      </c>
      <c r="AA253" s="20">
        <f t="shared" si="101"/>
        <v>0</v>
      </c>
      <c r="AB253" s="20">
        <f t="shared" si="102"/>
        <v>0</v>
      </c>
      <c r="AD253" s="37">
        <v>21</v>
      </c>
      <c r="AE253" s="37">
        <f>G253*1</f>
        <v>0</v>
      </c>
      <c r="AF253" s="37">
        <f>G253*(1-1)</f>
        <v>0</v>
      </c>
      <c r="AG253" s="34" t="s">
        <v>13</v>
      </c>
      <c r="AM253" s="37">
        <f t="shared" si="105"/>
        <v>0</v>
      </c>
      <c r="AN253" s="37">
        <f t="shared" si="106"/>
        <v>0</v>
      </c>
      <c r="AO253" s="38" t="s">
        <v>1211</v>
      </c>
      <c r="AP253" s="38" t="s">
        <v>1230</v>
      </c>
      <c r="AQ253" s="28" t="s">
        <v>1234</v>
      </c>
      <c r="AS253" s="37">
        <f t="shared" si="107"/>
        <v>0</v>
      </c>
      <c r="AT253" s="37">
        <f t="shared" si="108"/>
        <v>0</v>
      </c>
      <c r="AU253" s="37">
        <v>0</v>
      </c>
      <c r="AV253" s="37">
        <f t="shared" si="109"/>
        <v>0</v>
      </c>
    </row>
    <row r="254" spans="1:48" ht="12.75">
      <c r="A254" s="5" t="s">
        <v>199</v>
      </c>
      <c r="B254" s="5"/>
      <c r="C254" s="5" t="s">
        <v>572</v>
      </c>
      <c r="D254" s="5" t="s">
        <v>967</v>
      </c>
      <c r="E254" s="5" t="s">
        <v>1153</v>
      </c>
      <c r="F254" s="19">
        <v>2</v>
      </c>
      <c r="G254" s="19">
        <v>0</v>
      </c>
      <c r="H254" s="19">
        <f t="shared" si="88"/>
        <v>0</v>
      </c>
      <c r="I254" s="19">
        <f t="shared" si="89"/>
        <v>0</v>
      </c>
      <c r="J254" s="19">
        <f t="shared" si="90"/>
        <v>0</v>
      </c>
      <c r="K254" s="19">
        <v>0</v>
      </c>
      <c r="L254" s="19">
        <f t="shared" si="91"/>
        <v>0</v>
      </c>
      <c r="M254" s="33" t="s">
        <v>1177</v>
      </c>
      <c r="P254" s="37">
        <f t="shared" si="92"/>
        <v>0</v>
      </c>
      <c r="R254" s="37">
        <f t="shared" si="93"/>
        <v>0</v>
      </c>
      <c r="S254" s="37">
        <f t="shared" si="94"/>
        <v>0</v>
      </c>
      <c r="T254" s="37">
        <f t="shared" si="95"/>
        <v>0</v>
      </c>
      <c r="U254" s="37">
        <f t="shared" si="96"/>
        <v>0</v>
      </c>
      <c r="V254" s="37">
        <f t="shared" si="97"/>
        <v>0</v>
      </c>
      <c r="W254" s="37">
        <f t="shared" si="98"/>
        <v>0</v>
      </c>
      <c r="X254" s="37">
        <f t="shared" si="99"/>
        <v>0</v>
      </c>
      <c r="Y254" s="28"/>
      <c r="Z254" s="19">
        <f t="shared" si="100"/>
        <v>0</v>
      </c>
      <c r="AA254" s="19">
        <f t="shared" si="101"/>
        <v>0</v>
      </c>
      <c r="AB254" s="19">
        <f t="shared" si="102"/>
        <v>0</v>
      </c>
      <c r="AD254" s="37">
        <v>21</v>
      </c>
      <c r="AE254" s="37">
        <f aca="true" t="shared" si="110" ref="AE254:AE285">G254*0</f>
        <v>0</v>
      </c>
      <c r="AF254" s="37">
        <f aca="true" t="shared" si="111" ref="AF254:AF285">G254*(1-0)</f>
        <v>0</v>
      </c>
      <c r="AG254" s="33" t="s">
        <v>13</v>
      </c>
      <c r="AM254" s="37">
        <f t="shared" si="105"/>
        <v>0</v>
      </c>
      <c r="AN254" s="37">
        <f t="shared" si="106"/>
        <v>0</v>
      </c>
      <c r="AO254" s="38" t="s">
        <v>1211</v>
      </c>
      <c r="AP254" s="38" t="s">
        <v>1230</v>
      </c>
      <c r="AQ254" s="28" t="s">
        <v>1234</v>
      </c>
      <c r="AS254" s="37">
        <f t="shared" si="107"/>
        <v>0</v>
      </c>
      <c r="AT254" s="37">
        <f t="shared" si="108"/>
        <v>0</v>
      </c>
      <c r="AU254" s="37">
        <v>0</v>
      </c>
      <c r="AV254" s="37">
        <f t="shared" si="109"/>
        <v>0</v>
      </c>
    </row>
    <row r="255" spans="1:48" ht="12.75">
      <c r="A255" s="5" t="s">
        <v>200</v>
      </c>
      <c r="B255" s="5"/>
      <c r="C255" s="5" t="s">
        <v>573</v>
      </c>
      <c r="D255" s="5" t="s">
        <v>968</v>
      </c>
      <c r="E255" s="5" t="s">
        <v>1153</v>
      </c>
      <c r="F255" s="19">
        <v>2</v>
      </c>
      <c r="G255" s="19">
        <v>0</v>
      </c>
      <c r="H255" s="19">
        <f t="shared" si="88"/>
        <v>0</v>
      </c>
      <c r="I255" s="19">
        <f t="shared" si="89"/>
        <v>0</v>
      </c>
      <c r="J255" s="19">
        <f t="shared" si="90"/>
        <v>0</v>
      </c>
      <c r="K255" s="19">
        <v>0</v>
      </c>
      <c r="L255" s="19">
        <f t="shared" si="91"/>
        <v>0</v>
      </c>
      <c r="M255" s="33" t="s">
        <v>1177</v>
      </c>
      <c r="P255" s="37">
        <f t="shared" si="92"/>
        <v>0</v>
      </c>
      <c r="R255" s="37">
        <f t="shared" si="93"/>
        <v>0</v>
      </c>
      <c r="S255" s="37">
        <f t="shared" si="94"/>
        <v>0</v>
      </c>
      <c r="T255" s="37">
        <f t="shared" si="95"/>
        <v>0</v>
      </c>
      <c r="U255" s="37">
        <f t="shared" si="96"/>
        <v>0</v>
      </c>
      <c r="V255" s="37">
        <f t="shared" si="97"/>
        <v>0</v>
      </c>
      <c r="W255" s="37">
        <f t="shared" si="98"/>
        <v>0</v>
      </c>
      <c r="X255" s="37">
        <f t="shared" si="99"/>
        <v>0</v>
      </c>
      <c r="Y255" s="28"/>
      <c r="Z255" s="19">
        <f t="shared" si="100"/>
        <v>0</v>
      </c>
      <c r="AA255" s="19">
        <f t="shared" si="101"/>
        <v>0</v>
      </c>
      <c r="AB255" s="19">
        <f t="shared" si="102"/>
        <v>0</v>
      </c>
      <c r="AD255" s="37">
        <v>21</v>
      </c>
      <c r="AE255" s="37">
        <f t="shared" si="110"/>
        <v>0</v>
      </c>
      <c r="AF255" s="37">
        <f t="shared" si="111"/>
        <v>0</v>
      </c>
      <c r="AG255" s="33" t="s">
        <v>13</v>
      </c>
      <c r="AM255" s="37">
        <f t="shared" si="105"/>
        <v>0</v>
      </c>
      <c r="AN255" s="37">
        <f t="shared" si="106"/>
        <v>0</v>
      </c>
      <c r="AO255" s="38" t="s">
        <v>1211</v>
      </c>
      <c r="AP255" s="38" t="s">
        <v>1230</v>
      </c>
      <c r="AQ255" s="28" t="s">
        <v>1234</v>
      </c>
      <c r="AS255" s="37">
        <f t="shared" si="107"/>
        <v>0</v>
      </c>
      <c r="AT255" s="37">
        <f t="shared" si="108"/>
        <v>0</v>
      </c>
      <c r="AU255" s="37">
        <v>0</v>
      </c>
      <c r="AV255" s="37">
        <f t="shared" si="109"/>
        <v>0</v>
      </c>
    </row>
    <row r="256" spans="1:48" ht="12.75">
      <c r="A256" s="5" t="s">
        <v>201</v>
      </c>
      <c r="B256" s="5"/>
      <c r="C256" s="5" t="s">
        <v>574</v>
      </c>
      <c r="D256" s="5" t="s">
        <v>969</v>
      </c>
      <c r="E256" s="5" t="s">
        <v>1154</v>
      </c>
      <c r="F256" s="19">
        <v>10</v>
      </c>
      <c r="G256" s="19">
        <v>0</v>
      </c>
      <c r="H256" s="19">
        <f t="shared" si="88"/>
        <v>0</v>
      </c>
      <c r="I256" s="19">
        <f t="shared" si="89"/>
        <v>0</v>
      </c>
      <c r="J256" s="19">
        <f t="shared" si="90"/>
        <v>0</v>
      </c>
      <c r="K256" s="19">
        <v>0</v>
      </c>
      <c r="L256" s="19">
        <f t="shared" si="91"/>
        <v>0</v>
      </c>
      <c r="M256" s="33" t="s">
        <v>1177</v>
      </c>
      <c r="P256" s="37">
        <f t="shared" si="92"/>
        <v>0</v>
      </c>
      <c r="R256" s="37">
        <f t="shared" si="93"/>
        <v>0</v>
      </c>
      <c r="S256" s="37">
        <f t="shared" si="94"/>
        <v>0</v>
      </c>
      <c r="T256" s="37">
        <f t="shared" si="95"/>
        <v>0</v>
      </c>
      <c r="U256" s="37">
        <f t="shared" si="96"/>
        <v>0</v>
      </c>
      <c r="V256" s="37">
        <f t="shared" si="97"/>
        <v>0</v>
      </c>
      <c r="W256" s="37">
        <f t="shared" si="98"/>
        <v>0</v>
      </c>
      <c r="X256" s="37">
        <f t="shared" si="99"/>
        <v>0</v>
      </c>
      <c r="Y256" s="28"/>
      <c r="Z256" s="19">
        <f t="shared" si="100"/>
        <v>0</v>
      </c>
      <c r="AA256" s="19">
        <f t="shared" si="101"/>
        <v>0</v>
      </c>
      <c r="AB256" s="19">
        <f t="shared" si="102"/>
        <v>0</v>
      </c>
      <c r="AD256" s="37">
        <v>21</v>
      </c>
      <c r="AE256" s="37">
        <f t="shared" si="110"/>
        <v>0</v>
      </c>
      <c r="AF256" s="37">
        <f t="shared" si="111"/>
        <v>0</v>
      </c>
      <c r="AG256" s="33" t="s">
        <v>13</v>
      </c>
      <c r="AM256" s="37">
        <f t="shared" si="105"/>
        <v>0</v>
      </c>
      <c r="AN256" s="37">
        <f t="shared" si="106"/>
        <v>0</v>
      </c>
      <c r="AO256" s="38" t="s">
        <v>1211</v>
      </c>
      <c r="AP256" s="38" t="s">
        <v>1230</v>
      </c>
      <c r="AQ256" s="28" t="s">
        <v>1234</v>
      </c>
      <c r="AS256" s="37">
        <f t="shared" si="107"/>
        <v>0</v>
      </c>
      <c r="AT256" s="37">
        <f t="shared" si="108"/>
        <v>0</v>
      </c>
      <c r="AU256" s="37">
        <v>0</v>
      </c>
      <c r="AV256" s="37">
        <f t="shared" si="109"/>
        <v>0</v>
      </c>
    </row>
    <row r="257" spans="1:48" ht="12.75">
      <c r="A257" s="5" t="s">
        <v>202</v>
      </c>
      <c r="B257" s="5"/>
      <c r="C257" s="5" t="s">
        <v>575</v>
      </c>
      <c r="D257" s="5" t="s">
        <v>970</v>
      </c>
      <c r="E257" s="5" t="s">
        <v>1154</v>
      </c>
      <c r="F257" s="19">
        <v>10</v>
      </c>
      <c r="G257" s="19">
        <v>0</v>
      </c>
      <c r="H257" s="19">
        <f t="shared" si="88"/>
        <v>0</v>
      </c>
      <c r="I257" s="19">
        <f t="shared" si="89"/>
        <v>0</v>
      </c>
      <c r="J257" s="19">
        <f t="shared" si="90"/>
        <v>0</v>
      </c>
      <c r="K257" s="19">
        <v>0</v>
      </c>
      <c r="L257" s="19">
        <f t="shared" si="91"/>
        <v>0</v>
      </c>
      <c r="M257" s="33" t="s">
        <v>1177</v>
      </c>
      <c r="P257" s="37">
        <f t="shared" si="92"/>
        <v>0</v>
      </c>
      <c r="R257" s="37">
        <f t="shared" si="93"/>
        <v>0</v>
      </c>
      <c r="S257" s="37">
        <f t="shared" si="94"/>
        <v>0</v>
      </c>
      <c r="T257" s="37">
        <f t="shared" si="95"/>
        <v>0</v>
      </c>
      <c r="U257" s="37">
        <f t="shared" si="96"/>
        <v>0</v>
      </c>
      <c r="V257" s="37">
        <f t="shared" si="97"/>
        <v>0</v>
      </c>
      <c r="W257" s="37">
        <f t="shared" si="98"/>
        <v>0</v>
      </c>
      <c r="X257" s="37">
        <f t="shared" si="99"/>
        <v>0</v>
      </c>
      <c r="Y257" s="28"/>
      <c r="Z257" s="19">
        <f t="shared" si="100"/>
        <v>0</v>
      </c>
      <c r="AA257" s="19">
        <f t="shared" si="101"/>
        <v>0</v>
      </c>
      <c r="AB257" s="19">
        <f t="shared" si="102"/>
        <v>0</v>
      </c>
      <c r="AD257" s="37">
        <v>21</v>
      </c>
      <c r="AE257" s="37">
        <f t="shared" si="110"/>
        <v>0</v>
      </c>
      <c r="AF257" s="37">
        <f t="shared" si="111"/>
        <v>0</v>
      </c>
      <c r="AG257" s="33" t="s">
        <v>13</v>
      </c>
      <c r="AM257" s="37">
        <f t="shared" si="105"/>
        <v>0</v>
      </c>
      <c r="AN257" s="37">
        <f t="shared" si="106"/>
        <v>0</v>
      </c>
      <c r="AO257" s="38" t="s">
        <v>1211</v>
      </c>
      <c r="AP257" s="38" t="s">
        <v>1230</v>
      </c>
      <c r="AQ257" s="28" t="s">
        <v>1234</v>
      </c>
      <c r="AS257" s="37">
        <f t="shared" si="107"/>
        <v>0</v>
      </c>
      <c r="AT257" s="37">
        <f t="shared" si="108"/>
        <v>0</v>
      </c>
      <c r="AU257" s="37">
        <v>0</v>
      </c>
      <c r="AV257" s="37">
        <f t="shared" si="109"/>
        <v>0</v>
      </c>
    </row>
    <row r="258" spans="1:48" ht="12.75">
      <c r="A258" s="5" t="s">
        <v>203</v>
      </c>
      <c r="B258" s="5"/>
      <c r="C258" s="5" t="s">
        <v>576</v>
      </c>
      <c r="D258" s="5" t="s">
        <v>971</v>
      </c>
      <c r="E258" s="5" t="s">
        <v>1154</v>
      </c>
      <c r="F258" s="19">
        <v>4</v>
      </c>
      <c r="G258" s="19">
        <v>0</v>
      </c>
      <c r="H258" s="19">
        <f t="shared" si="88"/>
        <v>0</v>
      </c>
      <c r="I258" s="19">
        <f t="shared" si="89"/>
        <v>0</v>
      </c>
      <c r="J258" s="19">
        <f t="shared" si="90"/>
        <v>0</v>
      </c>
      <c r="K258" s="19">
        <v>0</v>
      </c>
      <c r="L258" s="19">
        <f t="shared" si="91"/>
        <v>0</v>
      </c>
      <c r="M258" s="33" t="s">
        <v>1177</v>
      </c>
      <c r="P258" s="37">
        <f t="shared" si="92"/>
        <v>0</v>
      </c>
      <c r="R258" s="37">
        <f t="shared" si="93"/>
        <v>0</v>
      </c>
      <c r="S258" s="37">
        <f t="shared" si="94"/>
        <v>0</v>
      </c>
      <c r="T258" s="37">
        <f t="shared" si="95"/>
        <v>0</v>
      </c>
      <c r="U258" s="37">
        <f t="shared" si="96"/>
        <v>0</v>
      </c>
      <c r="V258" s="37">
        <f t="shared" si="97"/>
        <v>0</v>
      </c>
      <c r="W258" s="37">
        <f t="shared" si="98"/>
        <v>0</v>
      </c>
      <c r="X258" s="37">
        <f t="shared" si="99"/>
        <v>0</v>
      </c>
      <c r="Y258" s="28"/>
      <c r="Z258" s="19">
        <f t="shared" si="100"/>
        <v>0</v>
      </c>
      <c r="AA258" s="19">
        <f t="shared" si="101"/>
        <v>0</v>
      </c>
      <c r="AB258" s="19">
        <f t="shared" si="102"/>
        <v>0</v>
      </c>
      <c r="AD258" s="37">
        <v>21</v>
      </c>
      <c r="AE258" s="37">
        <f t="shared" si="110"/>
        <v>0</v>
      </c>
      <c r="AF258" s="37">
        <f t="shared" si="111"/>
        <v>0</v>
      </c>
      <c r="AG258" s="33" t="s">
        <v>13</v>
      </c>
      <c r="AM258" s="37">
        <f t="shared" si="105"/>
        <v>0</v>
      </c>
      <c r="AN258" s="37">
        <f t="shared" si="106"/>
        <v>0</v>
      </c>
      <c r="AO258" s="38" t="s">
        <v>1211</v>
      </c>
      <c r="AP258" s="38" t="s">
        <v>1230</v>
      </c>
      <c r="AQ258" s="28" t="s">
        <v>1234</v>
      </c>
      <c r="AS258" s="37">
        <f t="shared" si="107"/>
        <v>0</v>
      </c>
      <c r="AT258" s="37">
        <f t="shared" si="108"/>
        <v>0</v>
      </c>
      <c r="AU258" s="37">
        <v>0</v>
      </c>
      <c r="AV258" s="37">
        <f t="shared" si="109"/>
        <v>0</v>
      </c>
    </row>
    <row r="259" spans="1:48" ht="12.75">
      <c r="A259" s="5" t="s">
        <v>204</v>
      </c>
      <c r="B259" s="5"/>
      <c r="C259" s="5" t="s">
        <v>577</v>
      </c>
      <c r="D259" s="5" t="s">
        <v>972</v>
      </c>
      <c r="E259" s="5" t="s">
        <v>1154</v>
      </c>
      <c r="F259" s="19">
        <v>4</v>
      </c>
      <c r="G259" s="19">
        <v>0</v>
      </c>
      <c r="H259" s="19">
        <f t="shared" si="88"/>
        <v>0</v>
      </c>
      <c r="I259" s="19">
        <f t="shared" si="89"/>
        <v>0</v>
      </c>
      <c r="J259" s="19">
        <f t="shared" si="90"/>
        <v>0</v>
      </c>
      <c r="K259" s="19">
        <v>0</v>
      </c>
      <c r="L259" s="19">
        <f t="shared" si="91"/>
        <v>0</v>
      </c>
      <c r="M259" s="33" t="s">
        <v>1177</v>
      </c>
      <c r="P259" s="37">
        <f t="shared" si="92"/>
        <v>0</v>
      </c>
      <c r="R259" s="37">
        <f t="shared" si="93"/>
        <v>0</v>
      </c>
      <c r="S259" s="37">
        <f t="shared" si="94"/>
        <v>0</v>
      </c>
      <c r="T259" s="37">
        <f t="shared" si="95"/>
        <v>0</v>
      </c>
      <c r="U259" s="37">
        <f t="shared" si="96"/>
        <v>0</v>
      </c>
      <c r="V259" s="37">
        <f t="shared" si="97"/>
        <v>0</v>
      </c>
      <c r="W259" s="37">
        <f t="shared" si="98"/>
        <v>0</v>
      </c>
      <c r="X259" s="37">
        <f t="shared" si="99"/>
        <v>0</v>
      </c>
      <c r="Y259" s="28"/>
      <c r="Z259" s="19">
        <f t="shared" si="100"/>
        <v>0</v>
      </c>
      <c r="AA259" s="19">
        <f t="shared" si="101"/>
        <v>0</v>
      </c>
      <c r="AB259" s="19">
        <f t="shared" si="102"/>
        <v>0</v>
      </c>
      <c r="AD259" s="37">
        <v>21</v>
      </c>
      <c r="AE259" s="37">
        <f t="shared" si="110"/>
        <v>0</v>
      </c>
      <c r="AF259" s="37">
        <f t="shared" si="111"/>
        <v>0</v>
      </c>
      <c r="AG259" s="33" t="s">
        <v>13</v>
      </c>
      <c r="AM259" s="37">
        <f t="shared" si="105"/>
        <v>0</v>
      </c>
      <c r="AN259" s="37">
        <f t="shared" si="106"/>
        <v>0</v>
      </c>
      <c r="AO259" s="38" t="s">
        <v>1211</v>
      </c>
      <c r="AP259" s="38" t="s">
        <v>1230</v>
      </c>
      <c r="AQ259" s="28" t="s">
        <v>1234</v>
      </c>
      <c r="AS259" s="37">
        <f t="shared" si="107"/>
        <v>0</v>
      </c>
      <c r="AT259" s="37">
        <f t="shared" si="108"/>
        <v>0</v>
      </c>
      <c r="AU259" s="37">
        <v>0</v>
      </c>
      <c r="AV259" s="37">
        <f t="shared" si="109"/>
        <v>0</v>
      </c>
    </row>
    <row r="260" spans="1:48" ht="12.75">
      <c r="A260" s="5" t="s">
        <v>205</v>
      </c>
      <c r="B260" s="5"/>
      <c r="C260" s="5" t="s">
        <v>578</v>
      </c>
      <c r="D260" s="5" t="s">
        <v>973</v>
      </c>
      <c r="E260" s="5" t="s">
        <v>1154</v>
      </c>
      <c r="F260" s="19">
        <v>6</v>
      </c>
      <c r="G260" s="19">
        <v>0</v>
      </c>
      <c r="H260" s="19">
        <f t="shared" si="88"/>
        <v>0</v>
      </c>
      <c r="I260" s="19">
        <f t="shared" si="89"/>
        <v>0</v>
      </c>
      <c r="J260" s="19">
        <f t="shared" si="90"/>
        <v>0</v>
      </c>
      <c r="K260" s="19">
        <v>0</v>
      </c>
      <c r="L260" s="19">
        <f t="shared" si="91"/>
        <v>0</v>
      </c>
      <c r="M260" s="33" t="s">
        <v>1177</v>
      </c>
      <c r="P260" s="37">
        <f t="shared" si="92"/>
        <v>0</v>
      </c>
      <c r="R260" s="37">
        <f t="shared" si="93"/>
        <v>0</v>
      </c>
      <c r="S260" s="37">
        <f t="shared" si="94"/>
        <v>0</v>
      </c>
      <c r="T260" s="37">
        <f t="shared" si="95"/>
        <v>0</v>
      </c>
      <c r="U260" s="37">
        <f t="shared" si="96"/>
        <v>0</v>
      </c>
      <c r="V260" s="37">
        <f t="shared" si="97"/>
        <v>0</v>
      </c>
      <c r="W260" s="37">
        <f t="shared" si="98"/>
        <v>0</v>
      </c>
      <c r="X260" s="37">
        <f t="shared" si="99"/>
        <v>0</v>
      </c>
      <c r="Y260" s="28"/>
      <c r="Z260" s="19">
        <f t="shared" si="100"/>
        <v>0</v>
      </c>
      <c r="AA260" s="19">
        <f t="shared" si="101"/>
        <v>0</v>
      </c>
      <c r="AB260" s="19">
        <f t="shared" si="102"/>
        <v>0</v>
      </c>
      <c r="AD260" s="37">
        <v>21</v>
      </c>
      <c r="AE260" s="37">
        <f t="shared" si="110"/>
        <v>0</v>
      </c>
      <c r="AF260" s="37">
        <f t="shared" si="111"/>
        <v>0</v>
      </c>
      <c r="AG260" s="33" t="s">
        <v>13</v>
      </c>
      <c r="AM260" s="37">
        <f t="shared" si="105"/>
        <v>0</v>
      </c>
      <c r="AN260" s="37">
        <f t="shared" si="106"/>
        <v>0</v>
      </c>
      <c r="AO260" s="38" t="s">
        <v>1211</v>
      </c>
      <c r="AP260" s="38" t="s">
        <v>1230</v>
      </c>
      <c r="AQ260" s="28" t="s">
        <v>1234</v>
      </c>
      <c r="AS260" s="37">
        <f t="shared" si="107"/>
        <v>0</v>
      </c>
      <c r="AT260" s="37">
        <f t="shared" si="108"/>
        <v>0</v>
      </c>
      <c r="AU260" s="37">
        <v>0</v>
      </c>
      <c r="AV260" s="37">
        <f t="shared" si="109"/>
        <v>0</v>
      </c>
    </row>
    <row r="261" spans="1:48" ht="12.75">
      <c r="A261" s="5" t="s">
        <v>206</v>
      </c>
      <c r="B261" s="5"/>
      <c r="C261" s="5" t="s">
        <v>579</v>
      </c>
      <c r="D261" s="5" t="s">
        <v>973</v>
      </c>
      <c r="E261" s="5" t="s">
        <v>1154</v>
      </c>
      <c r="F261" s="19">
        <v>6</v>
      </c>
      <c r="G261" s="19">
        <v>0</v>
      </c>
      <c r="H261" s="19">
        <f t="shared" si="88"/>
        <v>0</v>
      </c>
      <c r="I261" s="19">
        <f t="shared" si="89"/>
        <v>0</v>
      </c>
      <c r="J261" s="19">
        <f t="shared" si="90"/>
        <v>0</v>
      </c>
      <c r="K261" s="19">
        <v>0</v>
      </c>
      <c r="L261" s="19">
        <f t="shared" si="91"/>
        <v>0</v>
      </c>
      <c r="M261" s="33" t="s">
        <v>1177</v>
      </c>
      <c r="P261" s="37">
        <f t="shared" si="92"/>
        <v>0</v>
      </c>
      <c r="R261" s="37">
        <f t="shared" si="93"/>
        <v>0</v>
      </c>
      <c r="S261" s="37">
        <f t="shared" si="94"/>
        <v>0</v>
      </c>
      <c r="T261" s="37">
        <f t="shared" si="95"/>
        <v>0</v>
      </c>
      <c r="U261" s="37">
        <f t="shared" si="96"/>
        <v>0</v>
      </c>
      <c r="V261" s="37">
        <f t="shared" si="97"/>
        <v>0</v>
      </c>
      <c r="W261" s="37">
        <f t="shared" si="98"/>
        <v>0</v>
      </c>
      <c r="X261" s="37">
        <f t="shared" si="99"/>
        <v>0</v>
      </c>
      <c r="Y261" s="28"/>
      <c r="Z261" s="19">
        <f t="shared" si="100"/>
        <v>0</v>
      </c>
      <c r="AA261" s="19">
        <f t="shared" si="101"/>
        <v>0</v>
      </c>
      <c r="AB261" s="19">
        <f t="shared" si="102"/>
        <v>0</v>
      </c>
      <c r="AD261" s="37">
        <v>21</v>
      </c>
      <c r="AE261" s="37">
        <f t="shared" si="110"/>
        <v>0</v>
      </c>
      <c r="AF261" s="37">
        <f t="shared" si="111"/>
        <v>0</v>
      </c>
      <c r="AG261" s="33" t="s">
        <v>13</v>
      </c>
      <c r="AM261" s="37">
        <f t="shared" si="105"/>
        <v>0</v>
      </c>
      <c r="AN261" s="37">
        <f t="shared" si="106"/>
        <v>0</v>
      </c>
      <c r="AO261" s="38" t="s">
        <v>1211</v>
      </c>
      <c r="AP261" s="38" t="s">
        <v>1230</v>
      </c>
      <c r="AQ261" s="28" t="s">
        <v>1234</v>
      </c>
      <c r="AS261" s="37">
        <f t="shared" si="107"/>
        <v>0</v>
      </c>
      <c r="AT261" s="37">
        <f t="shared" si="108"/>
        <v>0</v>
      </c>
      <c r="AU261" s="37">
        <v>0</v>
      </c>
      <c r="AV261" s="37">
        <f t="shared" si="109"/>
        <v>0</v>
      </c>
    </row>
    <row r="262" spans="1:48" ht="12.75">
      <c r="A262" s="5" t="s">
        <v>207</v>
      </c>
      <c r="B262" s="5"/>
      <c r="C262" s="5" t="s">
        <v>580</v>
      </c>
      <c r="D262" s="5" t="s">
        <v>974</v>
      </c>
      <c r="E262" s="5" t="s">
        <v>1154</v>
      </c>
      <c r="F262" s="19">
        <v>70</v>
      </c>
      <c r="G262" s="19">
        <v>0</v>
      </c>
      <c r="H262" s="19">
        <f t="shared" si="88"/>
        <v>0</v>
      </c>
      <c r="I262" s="19">
        <f t="shared" si="89"/>
        <v>0</v>
      </c>
      <c r="J262" s="19">
        <f t="shared" si="90"/>
        <v>0</v>
      </c>
      <c r="K262" s="19">
        <v>0</v>
      </c>
      <c r="L262" s="19">
        <f t="shared" si="91"/>
        <v>0</v>
      </c>
      <c r="M262" s="33" t="s">
        <v>1177</v>
      </c>
      <c r="P262" s="37">
        <f t="shared" si="92"/>
        <v>0</v>
      </c>
      <c r="R262" s="37">
        <f t="shared" si="93"/>
        <v>0</v>
      </c>
      <c r="S262" s="37">
        <f t="shared" si="94"/>
        <v>0</v>
      </c>
      <c r="T262" s="37">
        <f t="shared" si="95"/>
        <v>0</v>
      </c>
      <c r="U262" s="37">
        <f t="shared" si="96"/>
        <v>0</v>
      </c>
      <c r="V262" s="37">
        <f t="shared" si="97"/>
        <v>0</v>
      </c>
      <c r="W262" s="37">
        <f t="shared" si="98"/>
        <v>0</v>
      </c>
      <c r="X262" s="37">
        <f t="shared" si="99"/>
        <v>0</v>
      </c>
      <c r="Y262" s="28"/>
      <c r="Z262" s="19">
        <f t="shared" si="100"/>
        <v>0</v>
      </c>
      <c r="AA262" s="19">
        <f t="shared" si="101"/>
        <v>0</v>
      </c>
      <c r="AB262" s="19">
        <f t="shared" si="102"/>
        <v>0</v>
      </c>
      <c r="AD262" s="37">
        <v>21</v>
      </c>
      <c r="AE262" s="37">
        <f t="shared" si="110"/>
        <v>0</v>
      </c>
      <c r="AF262" s="37">
        <f t="shared" si="111"/>
        <v>0</v>
      </c>
      <c r="AG262" s="33" t="s">
        <v>13</v>
      </c>
      <c r="AM262" s="37">
        <f t="shared" si="105"/>
        <v>0</v>
      </c>
      <c r="AN262" s="37">
        <f t="shared" si="106"/>
        <v>0</v>
      </c>
      <c r="AO262" s="38" t="s">
        <v>1211</v>
      </c>
      <c r="AP262" s="38" t="s">
        <v>1230</v>
      </c>
      <c r="AQ262" s="28" t="s">
        <v>1234</v>
      </c>
      <c r="AS262" s="37">
        <f t="shared" si="107"/>
        <v>0</v>
      </c>
      <c r="AT262" s="37">
        <f t="shared" si="108"/>
        <v>0</v>
      </c>
      <c r="AU262" s="37">
        <v>0</v>
      </c>
      <c r="AV262" s="37">
        <f t="shared" si="109"/>
        <v>0</v>
      </c>
    </row>
    <row r="263" spans="1:48" ht="12.75">
      <c r="A263" s="5" t="s">
        <v>208</v>
      </c>
      <c r="B263" s="5"/>
      <c r="C263" s="5" t="s">
        <v>581</v>
      </c>
      <c r="D263" s="5" t="s">
        <v>975</v>
      </c>
      <c r="E263" s="5" t="s">
        <v>1154</v>
      </c>
      <c r="F263" s="19">
        <v>30</v>
      </c>
      <c r="G263" s="19">
        <v>0</v>
      </c>
      <c r="H263" s="19">
        <f t="shared" si="88"/>
        <v>0</v>
      </c>
      <c r="I263" s="19">
        <f t="shared" si="89"/>
        <v>0</v>
      </c>
      <c r="J263" s="19">
        <f t="shared" si="90"/>
        <v>0</v>
      </c>
      <c r="K263" s="19">
        <v>0</v>
      </c>
      <c r="L263" s="19">
        <f t="shared" si="91"/>
        <v>0</v>
      </c>
      <c r="M263" s="33" t="s">
        <v>1177</v>
      </c>
      <c r="P263" s="37">
        <f t="shared" si="92"/>
        <v>0</v>
      </c>
      <c r="R263" s="37">
        <f t="shared" si="93"/>
        <v>0</v>
      </c>
      <c r="S263" s="37">
        <f t="shared" si="94"/>
        <v>0</v>
      </c>
      <c r="T263" s="37">
        <f t="shared" si="95"/>
        <v>0</v>
      </c>
      <c r="U263" s="37">
        <f t="shared" si="96"/>
        <v>0</v>
      </c>
      <c r="V263" s="37">
        <f t="shared" si="97"/>
        <v>0</v>
      </c>
      <c r="W263" s="37">
        <f t="shared" si="98"/>
        <v>0</v>
      </c>
      <c r="X263" s="37">
        <f t="shared" si="99"/>
        <v>0</v>
      </c>
      <c r="Y263" s="28"/>
      <c r="Z263" s="19">
        <f t="shared" si="100"/>
        <v>0</v>
      </c>
      <c r="AA263" s="19">
        <f t="shared" si="101"/>
        <v>0</v>
      </c>
      <c r="AB263" s="19">
        <f t="shared" si="102"/>
        <v>0</v>
      </c>
      <c r="AD263" s="37">
        <v>21</v>
      </c>
      <c r="AE263" s="37">
        <f t="shared" si="110"/>
        <v>0</v>
      </c>
      <c r="AF263" s="37">
        <f t="shared" si="111"/>
        <v>0</v>
      </c>
      <c r="AG263" s="33" t="s">
        <v>13</v>
      </c>
      <c r="AM263" s="37">
        <f t="shared" si="105"/>
        <v>0</v>
      </c>
      <c r="AN263" s="37">
        <f t="shared" si="106"/>
        <v>0</v>
      </c>
      <c r="AO263" s="38" t="s">
        <v>1211</v>
      </c>
      <c r="AP263" s="38" t="s">
        <v>1230</v>
      </c>
      <c r="AQ263" s="28" t="s">
        <v>1234</v>
      </c>
      <c r="AS263" s="37">
        <f t="shared" si="107"/>
        <v>0</v>
      </c>
      <c r="AT263" s="37">
        <f t="shared" si="108"/>
        <v>0</v>
      </c>
      <c r="AU263" s="37">
        <v>0</v>
      </c>
      <c r="AV263" s="37">
        <f t="shared" si="109"/>
        <v>0</v>
      </c>
    </row>
    <row r="264" spans="1:48" ht="12.75">
      <c r="A264" s="5" t="s">
        <v>209</v>
      </c>
      <c r="B264" s="5"/>
      <c r="C264" s="5" t="s">
        <v>582</v>
      </c>
      <c r="D264" s="5" t="s">
        <v>976</v>
      </c>
      <c r="E264" s="5" t="s">
        <v>1154</v>
      </c>
      <c r="F264" s="19">
        <v>40</v>
      </c>
      <c r="G264" s="19">
        <v>0</v>
      </c>
      <c r="H264" s="19">
        <f t="shared" si="88"/>
        <v>0</v>
      </c>
      <c r="I264" s="19">
        <f t="shared" si="89"/>
        <v>0</v>
      </c>
      <c r="J264" s="19">
        <f t="shared" si="90"/>
        <v>0</v>
      </c>
      <c r="K264" s="19">
        <v>0</v>
      </c>
      <c r="L264" s="19">
        <f t="shared" si="91"/>
        <v>0</v>
      </c>
      <c r="M264" s="33" t="s">
        <v>1177</v>
      </c>
      <c r="P264" s="37">
        <f t="shared" si="92"/>
        <v>0</v>
      </c>
      <c r="R264" s="37">
        <f t="shared" si="93"/>
        <v>0</v>
      </c>
      <c r="S264" s="37">
        <f t="shared" si="94"/>
        <v>0</v>
      </c>
      <c r="T264" s="37">
        <f t="shared" si="95"/>
        <v>0</v>
      </c>
      <c r="U264" s="37">
        <f t="shared" si="96"/>
        <v>0</v>
      </c>
      <c r="V264" s="37">
        <f t="shared" si="97"/>
        <v>0</v>
      </c>
      <c r="W264" s="37">
        <f t="shared" si="98"/>
        <v>0</v>
      </c>
      <c r="X264" s="37">
        <f t="shared" si="99"/>
        <v>0</v>
      </c>
      <c r="Y264" s="28"/>
      <c r="Z264" s="19">
        <f t="shared" si="100"/>
        <v>0</v>
      </c>
      <c r="AA264" s="19">
        <f t="shared" si="101"/>
        <v>0</v>
      </c>
      <c r="AB264" s="19">
        <f t="shared" si="102"/>
        <v>0</v>
      </c>
      <c r="AD264" s="37">
        <v>21</v>
      </c>
      <c r="AE264" s="37">
        <f t="shared" si="110"/>
        <v>0</v>
      </c>
      <c r="AF264" s="37">
        <f t="shared" si="111"/>
        <v>0</v>
      </c>
      <c r="AG264" s="33" t="s">
        <v>13</v>
      </c>
      <c r="AM264" s="37">
        <f t="shared" si="105"/>
        <v>0</v>
      </c>
      <c r="AN264" s="37">
        <f t="shared" si="106"/>
        <v>0</v>
      </c>
      <c r="AO264" s="38" t="s">
        <v>1211</v>
      </c>
      <c r="AP264" s="38" t="s">
        <v>1230</v>
      </c>
      <c r="AQ264" s="28" t="s">
        <v>1234</v>
      </c>
      <c r="AS264" s="37">
        <f t="shared" si="107"/>
        <v>0</v>
      </c>
      <c r="AT264" s="37">
        <f t="shared" si="108"/>
        <v>0</v>
      </c>
      <c r="AU264" s="37">
        <v>0</v>
      </c>
      <c r="AV264" s="37">
        <f t="shared" si="109"/>
        <v>0</v>
      </c>
    </row>
    <row r="265" spans="1:48" ht="12.75">
      <c r="A265" s="5" t="s">
        <v>210</v>
      </c>
      <c r="B265" s="5"/>
      <c r="C265" s="5" t="s">
        <v>583</v>
      </c>
      <c r="D265" s="5" t="s">
        <v>977</v>
      </c>
      <c r="E265" s="5" t="s">
        <v>1154</v>
      </c>
      <c r="F265" s="19">
        <v>6</v>
      </c>
      <c r="G265" s="19">
        <v>0</v>
      </c>
      <c r="H265" s="19">
        <f aca="true" t="shared" si="112" ref="H265:H296">F265*AE265</f>
        <v>0</v>
      </c>
      <c r="I265" s="19">
        <f aca="true" t="shared" si="113" ref="I265:I296">J265-H265</f>
        <v>0</v>
      </c>
      <c r="J265" s="19">
        <f aca="true" t="shared" si="114" ref="J265:J296">F265*G265</f>
        <v>0</v>
      </c>
      <c r="K265" s="19">
        <v>0</v>
      </c>
      <c r="L265" s="19">
        <f aca="true" t="shared" si="115" ref="L265:L296">F265*K265</f>
        <v>0</v>
      </c>
      <c r="M265" s="33" t="s">
        <v>1177</v>
      </c>
      <c r="P265" s="37">
        <f aca="true" t="shared" si="116" ref="P265:P296">IF(AG265="5",J265,0)</f>
        <v>0</v>
      </c>
      <c r="R265" s="37">
        <f aca="true" t="shared" si="117" ref="R265:R296">IF(AG265="1",H265,0)</f>
        <v>0</v>
      </c>
      <c r="S265" s="37">
        <f aca="true" t="shared" si="118" ref="S265:S296">IF(AG265="1",I265,0)</f>
        <v>0</v>
      </c>
      <c r="T265" s="37">
        <f aca="true" t="shared" si="119" ref="T265:T296">IF(AG265="7",H265,0)</f>
        <v>0</v>
      </c>
      <c r="U265" s="37">
        <f aca="true" t="shared" si="120" ref="U265:U296">IF(AG265="7",I265,0)</f>
        <v>0</v>
      </c>
      <c r="V265" s="37">
        <f aca="true" t="shared" si="121" ref="V265:V296">IF(AG265="2",H265,0)</f>
        <v>0</v>
      </c>
      <c r="W265" s="37">
        <f aca="true" t="shared" si="122" ref="W265:W296">IF(AG265="2",I265,0)</f>
        <v>0</v>
      </c>
      <c r="X265" s="37">
        <f aca="true" t="shared" si="123" ref="X265:X296">IF(AG265="0",J265,0)</f>
        <v>0</v>
      </c>
      <c r="Y265" s="28"/>
      <c r="Z265" s="19">
        <f aca="true" t="shared" si="124" ref="Z265:Z296">IF(AD265=0,J265,0)</f>
        <v>0</v>
      </c>
      <c r="AA265" s="19">
        <f aca="true" t="shared" si="125" ref="AA265:AA296">IF(AD265=15,J265,0)</f>
        <v>0</v>
      </c>
      <c r="AB265" s="19">
        <f aca="true" t="shared" si="126" ref="AB265:AB296">IF(AD265=21,J265,0)</f>
        <v>0</v>
      </c>
      <c r="AD265" s="37">
        <v>21</v>
      </c>
      <c r="AE265" s="37">
        <f t="shared" si="110"/>
        <v>0</v>
      </c>
      <c r="AF265" s="37">
        <f t="shared" si="111"/>
        <v>0</v>
      </c>
      <c r="AG265" s="33" t="s">
        <v>13</v>
      </c>
      <c r="AM265" s="37">
        <f aca="true" t="shared" si="127" ref="AM265:AM296">F265*AE265</f>
        <v>0</v>
      </c>
      <c r="AN265" s="37">
        <f aca="true" t="shared" si="128" ref="AN265:AN296">F265*AF265</f>
        <v>0</v>
      </c>
      <c r="AO265" s="38" t="s">
        <v>1211</v>
      </c>
      <c r="AP265" s="38" t="s">
        <v>1230</v>
      </c>
      <c r="AQ265" s="28" t="s">
        <v>1234</v>
      </c>
      <c r="AS265" s="37">
        <f aca="true" t="shared" si="129" ref="AS265:AS296">AM265+AN265</f>
        <v>0</v>
      </c>
      <c r="AT265" s="37">
        <f aca="true" t="shared" si="130" ref="AT265:AT296">G265/(100-AU265)*100</f>
        <v>0</v>
      </c>
      <c r="AU265" s="37">
        <v>0</v>
      </c>
      <c r="AV265" s="37">
        <f aca="true" t="shared" si="131" ref="AV265:AV296">L265</f>
        <v>0</v>
      </c>
    </row>
    <row r="266" spans="1:48" ht="12.75">
      <c r="A266" s="5" t="s">
        <v>211</v>
      </c>
      <c r="B266" s="5"/>
      <c r="C266" s="5" t="s">
        <v>584</v>
      </c>
      <c r="D266" s="5" t="s">
        <v>978</v>
      </c>
      <c r="E266" s="5" t="s">
        <v>1154</v>
      </c>
      <c r="F266" s="19">
        <v>6</v>
      </c>
      <c r="G266" s="19">
        <v>0</v>
      </c>
      <c r="H266" s="19">
        <f t="shared" si="112"/>
        <v>0</v>
      </c>
      <c r="I266" s="19">
        <f t="shared" si="113"/>
        <v>0</v>
      </c>
      <c r="J266" s="19">
        <f t="shared" si="114"/>
        <v>0</v>
      </c>
      <c r="K266" s="19">
        <v>0</v>
      </c>
      <c r="L266" s="19">
        <f t="shared" si="115"/>
        <v>0</v>
      </c>
      <c r="M266" s="33" t="s">
        <v>1177</v>
      </c>
      <c r="P266" s="37">
        <f t="shared" si="116"/>
        <v>0</v>
      </c>
      <c r="R266" s="37">
        <f t="shared" si="117"/>
        <v>0</v>
      </c>
      <c r="S266" s="37">
        <f t="shared" si="118"/>
        <v>0</v>
      </c>
      <c r="T266" s="37">
        <f t="shared" si="119"/>
        <v>0</v>
      </c>
      <c r="U266" s="37">
        <f t="shared" si="120"/>
        <v>0</v>
      </c>
      <c r="V266" s="37">
        <f t="shared" si="121"/>
        <v>0</v>
      </c>
      <c r="W266" s="37">
        <f t="shared" si="122"/>
        <v>0</v>
      </c>
      <c r="X266" s="37">
        <f t="shared" si="123"/>
        <v>0</v>
      </c>
      <c r="Y266" s="28"/>
      <c r="Z266" s="19">
        <f t="shared" si="124"/>
        <v>0</v>
      </c>
      <c r="AA266" s="19">
        <f t="shared" si="125"/>
        <v>0</v>
      </c>
      <c r="AB266" s="19">
        <f t="shared" si="126"/>
        <v>0</v>
      </c>
      <c r="AD266" s="37">
        <v>21</v>
      </c>
      <c r="AE266" s="37">
        <f t="shared" si="110"/>
        <v>0</v>
      </c>
      <c r="AF266" s="37">
        <f t="shared" si="111"/>
        <v>0</v>
      </c>
      <c r="AG266" s="33" t="s">
        <v>13</v>
      </c>
      <c r="AM266" s="37">
        <f t="shared" si="127"/>
        <v>0</v>
      </c>
      <c r="AN266" s="37">
        <f t="shared" si="128"/>
        <v>0</v>
      </c>
      <c r="AO266" s="38" t="s">
        <v>1211</v>
      </c>
      <c r="AP266" s="38" t="s">
        <v>1230</v>
      </c>
      <c r="AQ266" s="28" t="s">
        <v>1234</v>
      </c>
      <c r="AS266" s="37">
        <f t="shared" si="129"/>
        <v>0</v>
      </c>
      <c r="AT266" s="37">
        <f t="shared" si="130"/>
        <v>0</v>
      </c>
      <c r="AU266" s="37">
        <v>0</v>
      </c>
      <c r="AV266" s="37">
        <f t="shared" si="131"/>
        <v>0</v>
      </c>
    </row>
    <row r="267" spans="1:48" ht="12.75">
      <c r="A267" s="5" t="s">
        <v>212</v>
      </c>
      <c r="B267" s="5"/>
      <c r="C267" s="5" t="s">
        <v>585</v>
      </c>
      <c r="D267" s="5" t="s">
        <v>979</v>
      </c>
      <c r="E267" s="5" t="s">
        <v>1154</v>
      </c>
      <c r="F267" s="19">
        <v>400</v>
      </c>
      <c r="G267" s="19">
        <v>0</v>
      </c>
      <c r="H267" s="19">
        <f t="shared" si="112"/>
        <v>0</v>
      </c>
      <c r="I267" s="19">
        <f t="shared" si="113"/>
        <v>0</v>
      </c>
      <c r="J267" s="19">
        <f t="shared" si="114"/>
        <v>0</v>
      </c>
      <c r="K267" s="19">
        <v>0</v>
      </c>
      <c r="L267" s="19">
        <f t="shared" si="115"/>
        <v>0</v>
      </c>
      <c r="M267" s="33" t="s">
        <v>1177</v>
      </c>
      <c r="P267" s="37">
        <f t="shared" si="116"/>
        <v>0</v>
      </c>
      <c r="R267" s="37">
        <f t="shared" si="117"/>
        <v>0</v>
      </c>
      <c r="S267" s="37">
        <f t="shared" si="118"/>
        <v>0</v>
      </c>
      <c r="T267" s="37">
        <f t="shared" si="119"/>
        <v>0</v>
      </c>
      <c r="U267" s="37">
        <f t="shared" si="120"/>
        <v>0</v>
      </c>
      <c r="V267" s="37">
        <f t="shared" si="121"/>
        <v>0</v>
      </c>
      <c r="W267" s="37">
        <f t="shared" si="122"/>
        <v>0</v>
      </c>
      <c r="X267" s="37">
        <f t="shared" si="123"/>
        <v>0</v>
      </c>
      <c r="Y267" s="28"/>
      <c r="Z267" s="19">
        <f t="shared" si="124"/>
        <v>0</v>
      </c>
      <c r="AA267" s="19">
        <f t="shared" si="125"/>
        <v>0</v>
      </c>
      <c r="AB267" s="19">
        <f t="shared" si="126"/>
        <v>0</v>
      </c>
      <c r="AD267" s="37">
        <v>21</v>
      </c>
      <c r="AE267" s="37">
        <f t="shared" si="110"/>
        <v>0</v>
      </c>
      <c r="AF267" s="37">
        <f t="shared" si="111"/>
        <v>0</v>
      </c>
      <c r="AG267" s="33" t="s">
        <v>13</v>
      </c>
      <c r="AM267" s="37">
        <f t="shared" si="127"/>
        <v>0</v>
      </c>
      <c r="AN267" s="37">
        <f t="shared" si="128"/>
        <v>0</v>
      </c>
      <c r="AO267" s="38" t="s">
        <v>1211</v>
      </c>
      <c r="AP267" s="38" t="s">
        <v>1230</v>
      </c>
      <c r="AQ267" s="28" t="s">
        <v>1234</v>
      </c>
      <c r="AS267" s="37">
        <f t="shared" si="129"/>
        <v>0</v>
      </c>
      <c r="AT267" s="37">
        <f t="shared" si="130"/>
        <v>0</v>
      </c>
      <c r="AU267" s="37">
        <v>0</v>
      </c>
      <c r="AV267" s="37">
        <f t="shared" si="131"/>
        <v>0</v>
      </c>
    </row>
    <row r="268" spans="1:48" ht="12.75">
      <c r="A268" s="5" t="s">
        <v>213</v>
      </c>
      <c r="B268" s="5"/>
      <c r="C268" s="5" t="s">
        <v>586</v>
      </c>
      <c r="D268" s="5" t="s">
        <v>980</v>
      </c>
      <c r="E268" s="5" t="s">
        <v>1154</v>
      </c>
      <c r="F268" s="19">
        <v>360</v>
      </c>
      <c r="G268" s="19">
        <v>0</v>
      </c>
      <c r="H268" s="19">
        <f t="shared" si="112"/>
        <v>0</v>
      </c>
      <c r="I268" s="19">
        <f t="shared" si="113"/>
        <v>0</v>
      </c>
      <c r="J268" s="19">
        <f t="shared" si="114"/>
        <v>0</v>
      </c>
      <c r="K268" s="19">
        <v>0</v>
      </c>
      <c r="L268" s="19">
        <f t="shared" si="115"/>
        <v>0</v>
      </c>
      <c r="M268" s="33" t="s">
        <v>1177</v>
      </c>
      <c r="P268" s="37">
        <f t="shared" si="116"/>
        <v>0</v>
      </c>
      <c r="R268" s="37">
        <f t="shared" si="117"/>
        <v>0</v>
      </c>
      <c r="S268" s="37">
        <f t="shared" si="118"/>
        <v>0</v>
      </c>
      <c r="T268" s="37">
        <f t="shared" si="119"/>
        <v>0</v>
      </c>
      <c r="U268" s="37">
        <f t="shared" si="120"/>
        <v>0</v>
      </c>
      <c r="V268" s="37">
        <f t="shared" si="121"/>
        <v>0</v>
      </c>
      <c r="W268" s="37">
        <f t="shared" si="122"/>
        <v>0</v>
      </c>
      <c r="X268" s="37">
        <f t="shared" si="123"/>
        <v>0</v>
      </c>
      <c r="Y268" s="28"/>
      <c r="Z268" s="19">
        <f t="shared" si="124"/>
        <v>0</v>
      </c>
      <c r="AA268" s="19">
        <f t="shared" si="125"/>
        <v>0</v>
      </c>
      <c r="AB268" s="19">
        <f t="shared" si="126"/>
        <v>0</v>
      </c>
      <c r="AD268" s="37">
        <v>21</v>
      </c>
      <c r="AE268" s="37">
        <f t="shared" si="110"/>
        <v>0</v>
      </c>
      <c r="AF268" s="37">
        <f t="shared" si="111"/>
        <v>0</v>
      </c>
      <c r="AG268" s="33" t="s">
        <v>13</v>
      </c>
      <c r="AM268" s="37">
        <f t="shared" si="127"/>
        <v>0</v>
      </c>
      <c r="AN268" s="37">
        <f t="shared" si="128"/>
        <v>0</v>
      </c>
      <c r="AO268" s="38" t="s">
        <v>1211</v>
      </c>
      <c r="AP268" s="38" t="s">
        <v>1230</v>
      </c>
      <c r="AQ268" s="28" t="s">
        <v>1234</v>
      </c>
      <c r="AS268" s="37">
        <f t="shared" si="129"/>
        <v>0</v>
      </c>
      <c r="AT268" s="37">
        <f t="shared" si="130"/>
        <v>0</v>
      </c>
      <c r="AU268" s="37">
        <v>0</v>
      </c>
      <c r="AV268" s="37">
        <f t="shared" si="131"/>
        <v>0</v>
      </c>
    </row>
    <row r="269" spans="1:48" ht="12.75">
      <c r="A269" s="5" t="s">
        <v>214</v>
      </c>
      <c r="B269" s="5"/>
      <c r="C269" s="5" t="s">
        <v>587</v>
      </c>
      <c r="D269" s="5" t="s">
        <v>981</v>
      </c>
      <c r="E269" s="5" t="s">
        <v>1154</v>
      </c>
      <c r="F269" s="19">
        <v>40</v>
      </c>
      <c r="G269" s="19">
        <v>0</v>
      </c>
      <c r="H269" s="19">
        <f t="shared" si="112"/>
        <v>0</v>
      </c>
      <c r="I269" s="19">
        <f t="shared" si="113"/>
        <v>0</v>
      </c>
      <c r="J269" s="19">
        <f t="shared" si="114"/>
        <v>0</v>
      </c>
      <c r="K269" s="19">
        <v>0</v>
      </c>
      <c r="L269" s="19">
        <f t="shared" si="115"/>
        <v>0</v>
      </c>
      <c r="M269" s="33" t="s">
        <v>1177</v>
      </c>
      <c r="P269" s="37">
        <f t="shared" si="116"/>
        <v>0</v>
      </c>
      <c r="R269" s="37">
        <f t="shared" si="117"/>
        <v>0</v>
      </c>
      <c r="S269" s="37">
        <f t="shared" si="118"/>
        <v>0</v>
      </c>
      <c r="T269" s="37">
        <f t="shared" si="119"/>
        <v>0</v>
      </c>
      <c r="U269" s="37">
        <f t="shared" si="120"/>
        <v>0</v>
      </c>
      <c r="V269" s="37">
        <f t="shared" si="121"/>
        <v>0</v>
      </c>
      <c r="W269" s="37">
        <f t="shared" si="122"/>
        <v>0</v>
      </c>
      <c r="X269" s="37">
        <f t="shared" si="123"/>
        <v>0</v>
      </c>
      <c r="Y269" s="28"/>
      <c r="Z269" s="19">
        <f t="shared" si="124"/>
        <v>0</v>
      </c>
      <c r="AA269" s="19">
        <f t="shared" si="125"/>
        <v>0</v>
      </c>
      <c r="AB269" s="19">
        <f t="shared" si="126"/>
        <v>0</v>
      </c>
      <c r="AD269" s="37">
        <v>21</v>
      </c>
      <c r="AE269" s="37">
        <f t="shared" si="110"/>
        <v>0</v>
      </c>
      <c r="AF269" s="37">
        <f t="shared" si="111"/>
        <v>0</v>
      </c>
      <c r="AG269" s="33" t="s">
        <v>13</v>
      </c>
      <c r="AM269" s="37">
        <f t="shared" si="127"/>
        <v>0</v>
      </c>
      <c r="AN269" s="37">
        <f t="shared" si="128"/>
        <v>0</v>
      </c>
      <c r="AO269" s="38" t="s">
        <v>1211</v>
      </c>
      <c r="AP269" s="38" t="s">
        <v>1230</v>
      </c>
      <c r="AQ269" s="28" t="s">
        <v>1234</v>
      </c>
      <c r="AS269" s="37">
        <f t="shared" si="129"/>
        <v>0</v>
      </c>
      <c r="AT269" s="37">
        <f t="shared" si="130"/>
        <v>0</v>
      </c>
      <c r="AU269" s="37">
        <v>0</v>
      </c>
      <c r="AV269" s="37">
        <f t="shared" si="131"/>
        <v>0</v>
      </c>
    </row>
    <row r="270" spans="1:48" ht="12.75">
      <c r="A270" s="5" t="s">
        <v>215</v>
      </c>
      <c r="B270" s="5"/>
      <c r="C270" s="5" t="s">
        <v>588</v>
      </c>
      <c r="D270" s="5" t="s">
        <v>982</v>
      </c>
      <c r="E270" s="5" t="s">
        <v>1154</v>
      </c>
      <c r="F270" s="19">
        <v>30</v>
      </c>
      <c r="G270" s="19">
        <v>0</v>
      </c>
      <c r="H270" s="19">
        <f t="shared" si="112"/>
        <v>0</v>
      </c>
      <c r="I270" s="19">
        <f t="shared" si="113"/>
        <v>0</v>
      </c>
      <c r="J270" s="19">
        <f t="shared" si="114"/>
        <v>0</v>
      </c>
      <c r="K270" s="19">
        <v>0</v>
      </c>
      <c r="L270" s="19">
        <f t="shared" si="115"/>
        <v>0</v>
      </c>
      <c r="M270" s="33" t="s">
        <v>1177</v>
      </c>
      <c r="P270" s="37">
        <f t="shared" si="116"/>
        <v>0</v>
      </c>
      <c r="R270" s="37">
        <f t="shared" si="117"/>
        <v>0</v>
      </c>
      <c r="S270" s="37">
        <f t="shared" si="118"/>
        <v>0</v>
      </c>
      <c r="T270" s="37">
        <f t="shared" si="119"/>
        <v>0</v>
      </c>
      <c r="U270" s="37">
        <f t="shared" si="120"/>
        <v>0</v>
      </c>
      <c r="V270" s="37">
        <f t="shared" si="121"/>
        <v>0</v>
      </c>
      <c r="W270" s="37">
        <f t="shared" si="122"/>
        <v>0</v>
      </c>
      <c r="X270" s="37">
        <f t="shared" si="123"/>
        <v>0</v>
      </c>
      <c r="Y270" s="28"/>
      <c r="Z270" s="19">
        <f t="shared" si="124"/>
        <v>0</v>
      </c>
      <c r="AA270" s="19">
        <f t="shared" si="125"/>
        <v>0</v>
      </c>
      <c r="AB270" s="19">
        <f t="shared" si="126"/>
        <v>0</v>
      </c>
      <c r="AD270" s="37">
        <v>21</v>
      </c>
      <c r="AE270" s="37">
        <f t="shared" si="110"/>
        <v>0</v>
      </c>
      <c r="AF270" s="37">
        <f t="shared" si="111"/>
        <v>0</v>
      </c>
      <c r="AG270" s="33" t="s">
        <v>13</v>
      </c>
      <c r="AM270" s="37">
        <f t="shared" si="127"/>
        <v>0</v>
      </c>
      <c r="AN270" s="37">
        <f t="shared" si="128"/>
        <v>0</v>
      </c>
      <c r="AO270" s="38" t="s">
        <v>1211</v>
      </c>
      <c r="AP270" s="38" t="s">
        <v>1230</v>
      </c>
      <c r="AQ270" s="28" t="s">
        <v>1234</v>
      </c>
      <c r="AS270" s="37">
        <f t="shared" si="129"/>
        <v>0</v>
      </c>
      <c r="AT270" s="37">
        <f t="shared" si="130"/>
        <v>0</v>
      </c>
      <c r="AU270" s="37">
        <v>0</v>
      </c>
      <c r="AV270" s="37">
        <f t="shared" si="131"/>
        <v>0</v>
      </c>
    </row>
    <row r="271" spans="1:48" ht="12.75">
      <c r="A271" s="5" t="s">
        <v>216</v>
      </c>
      <c r="B271" s="5"/>
      <c r="C271" s="5" t="s">
        <v>589</v>
      </c>
      <c r="D271" s="5" t="s">
        <v>983</v>
      </c>
      <c r="E271" s="5" t="s">
        <v>1154</v>
      </c>
      <c r="F271" s="19">
        <v>30</v>
      </c>
      <c r="G271" s="19">
        <v>0</v>
      </c>
      <c r="H271" s="19">
        <f t="shared" si="112"/>
        <v>0</v>
      </c>
      <c r="I271" s="19">
        <f t="shared" si="113"/>
        <v>0</v>
      </c>
      <c r="J271" s="19">
        <f t="shared" si="114"/>
        <v>0</v>
      </c>
      <c r="K271" s="19">
        <v>0</v>
      </c>
      <c r="L271" s="19">
        <f t="shared" si="115"/>
        <v>0</v>
      </c>
      <c r="M271" s="33" t="s">
        <v>1177</v>
      </c>
      <c r="P271" s="37">
        <f t="shared" si="116"/>
        <v>0</v>
      </c>
      <c r="R271" s="37">
        <f t="shared" si="117"/>
        <v>0</v>
      </c>
      <c r="S271" s="37">
        <f t="shared" si="118"/>
        <v>0</v>
      </c>
      <c r="T271" s="37">
        <f t="shared" si="119"/>
        <v>0</v>
      </c>
      <c r="U271" s="37">
        <f t="shared" si="120"/>
        <v>0</v>
      </c>
      <c r="V271" s="37">
        <f t="shared" si="121"/>
        <v>0</v>
      </c>
      <c r="W271" s="37">
        <f t="shared" si="122"/>
        <v>0</v>
      </c>
      <c r="X271" s="37">
        <f t="shared" si="123"/>
        <v>0</v>
      </c>
      <c r="Y271" s="28"/>
      <c r="Z271" s="19">
        <f t="shared" si="124"/>
        <v>0</v>
      </c>
      <c r="AA271" s="19">
        <f t="shared" si="125"/>
        <v>0</v>
      </c>
      <c r="AB271" s="19">
        <f t="shared" si="126"/>
        <v>0</v>
      </c>
      <c r="AD271" s="37">
        <v>21</v>
      </c>
      <c r="AE271" s="37">
        <f t="shared" si="110"/>
        <v>0</v>
      </c>
      <c r="AF271" s="37">
        <f t="shared" si="111"/>
        <v>0</v>
      </c>
      <c r="AG271" s="33" t="s">
        <v>13</v>
      </c>
      <c r="AM271" s="37">
        <f t="shared" si="127"/>
        <v>0</v>
      </c>
      <c r="AN271" s="37">
        <f t="shared" si="128"/>
        <v>0</v>
      </c>
      <c r="AO271" s="38" t="s">
        <v>1211</v>
      </c>
      <c r="AP271" s="38" t="s">
        <v>1230</v>
      </c>
      <c r="AQ271" s="28" t="s">
        <v>1234</v>
      </c>
      <c r="AS271" s="37">
        <f t="shared" si="129"/>
        <v>0</v>
      </c>
      <c r="AT271" s="37">
        <f t="shared" si="130"/>
        <v>0</v>
      </c>
      <c r="AU271" s="37">
        <v>0</v>
      </c>
      <c r="AV271" s="37">
        <f t="shared" si="131"/>
        <v>0</v>
      </c>
    </row>
    <row r="272" spans="1:48" ht="12.75">
      <c r="A272" s="5" t="s">
        <v>217</v>
      </c>
      <c r="B272" s="5"/>
      <c r="C272" s="5" t="s">
        <v>590</v>
      </c>
      <c r="D272" s="5" t="s">
        <v>984</v>
      </c>
      <c r="E272" s="5" t="s">
        <v>1154</v>
      </c>
      <c r="F272" s="19">
        <v>30</v>
      </c>
      <c r="G272" s="19">
        <v>0</v>
      </c>
      <c r="H272" s="19">
        <f t="shared" si="112"/>
        <v>0</v>
      </c>
      <c r="I272" s="19">
        <f t="shared" si="113"/>
        <v>0</v>
      </c>
      <c r="J272" s="19">
        <f t="shared" si="114"/>
        <v>0</v>
      </c>
      <c r="K272" s="19">
        <v>0</v>
      </c>
      <c r="L272" s="19">
        <f t="shared" si="115"/>
        <v>0</v>
      </c>
      <c r="M272" s="33" t="s">
        <v>1177</v>
      </c>
      <c r="P272" s="37">
        <f t="shared" si="116"/>
        <v>0</v>
      </c>
      <c r="R272" s="37">
        <f t="shared" si="117"/>
        <v>0</v>
      </c>
      <c r="S272" s="37">
        <f t="shared" si="118"/>
        <v>0</v>
      </c>
      <c r="T272" s="37">
        <f t="shared" si="119"/>
        <v>0</v>
      </c>
      <c r="U272" s="37">
        <f t="shared" si="120"/>
        <v>0</v>
      </c>
      <c r="V272" s="37">
        <f t="shared" si="121"/>
        <v>0</v>
      </c>
      <c r="W272" s="37">
        <f t="shared" si="122"/>
        <v>0</v>
      </c>
      <c r="X272" s="37">
        <f t="shared" si="123"/>
        <v>0</v>
      </c>
      <c r="Y272" s="28"/>
      <c r="Z272" s="19">
        <f t="shared" si="124"/>
        <v>0</v>
      </c>
      <c r="AA272" s="19">
        <f t="shared" si="125"/>
        <v>0</v>
      </c>
      <c r="AB272" s="19">
        <f t="shared" si="126"/>
        <v>0</v>
      </c>
      <c r="AD272" s="37">
        <v>21</v>
      </c>
      <c r="AE272" s="37">
        <f t="shared" si="110"/>
        <v>0</v>
      </c>
      <c r="AF272" s="37">
        <f t="shared" si="111"/>
        <v>0</v>
      </c>
      <c r="AG272" s="33" t="s">
        <v>13</v>
      </c>
      <c r="AM272" s="37">
        <f t="shared" si="127"/>
        <v>0</v>
      </c>
      <c r="AN272" s="37">
        <f t="shared" si="128"/>
        <v>0</v>
      </c>
      <c r="AO272" s="38" t="s">
        <v>1211</v>
      </c>
      <c r="AP272" s="38" t="s">
        <v>1230</v>
      </c>
      <c r="AQ272" s="28" t="s">
        <v>1234</v>
      </c>
      <c r="AS272" s="37">
        <f t="shared" si="129"/>
        <v>0</v>
      </c>
      <c r="AT272" s="37">
        <f t="shared" si="130"/>
        <v>0</v>
      </c>
      <c r="AU272" s="37">
        <v>0</v>
      </c>
      <c r="AV272" s="37">
        <f t="shared" si="131"/>
        <v>0</v>
      </c>
    </row>
    <row r="273" spans="1:48" ht="12.75">
      <c r="A273" s="5" t="s">
        <v>218</v>
      </c>
      <c r="B273" s="5"/>
      <c r="C273" s="5" t="s">
        <v>591</v>
      </c>
      <c r="D273" s="5" t="s">
        <v>985</v>
      </c>
      <c r="E273" s="5" t="s">
        <v>1154</v>
      </c>
      <c r="F273" s="19">
        <v>30</v>
      </c>
      <c r="G273" s="19">
        <v>0</v>
      </c>
      <c r="H273" s="19">
        <f t="shared" si="112"/>
        <v>0</v>
      </c>
      <c r="I273" s="19">
        <f t="shared" si="113"/>
        <v>0</v>
      </c>
      <c r="J273" s="19">
        <f t="shared" si="114"/>
        <v>0</v>
      </c>
      <c r="K273" s="19">
        <v>0</v>
      </c>
      <c r="L273" s="19">
        <f t="shared" si="115"/>
        <v>0</v>
      </c>
      <c r="M273" s="33" t="s">
        <v>1177</v>
      </c>
      <c r="P273" s="37">
        <f t="shared" si="116"/>
        <v>0</v>
      </c>
      <c r="R273" s="37">
        <f t="shared" si="117"/>
        <v>0</v>
      </c>
      <c r="S273" s="37">
        <f t="shared" si="118"/>
        <v>0</v>
      </c>
      <c r="T273" s="37">
        <f t="shared" si="119"/>
        <v>0</v>
      </c>
      <c r="U273" s="37">
        <f t="shared" si="120"/>
        <v>0</v>
      </c>
      <c r="V273" s="37">
        <f t="shared" si="121"/>
        <v>0</v>
      </c>
      <c r="W273" s="37">
        <f t="shared" si="122"/>
        <v>0</v>
      </c>
      <c r="X273" s="37">
        <f t="shared" si="123"/>
        <v>0</v>
      </c>
      <c r="Y273" s="28"/>
      <c r="Z273" s="19">
        <f t="shared" si="124"/>
        <v>0</v>
      </c>
      <c r="AA273" s="19">
        <f t="shared" si="125"/>
        <v>0</v>
      </c>
      <c r="AB273" s="19">
        <f t="shared" si="126"/>
        <v>0</v>
      </c>
      <c r="AD273" s="37">
        <v>21</v>
      </c>
      <c r="AE273" s="37">
        <f t="shared" si="110"/>
        <v>0</v>
      </c>
      <c r="AF273" s="37">
        <f t="shared" si="111"/>
        <v>0</v>
      </c>
      <c r="AG273" s="33" t="s">
        <v>13</v>
      </c>
      <c r="AM273" s="37">
        <f t="shared" si="127"/>
        <v>0</v>
      </c>
      <c r="AN273" s="37">
        <f t="shared" si="128"/>
        <v>0</v>
      </c>
      <c r="AO273" s="38" t="s">
        <v>1211</v>
      </c>
      <c r="AP273" s="38" t="s">
        <v>1230</v>
      </c>
      <c r="AQ273" s="28" t="s">
        <v>1234</v>
      </c>
      <c r="AS273" s="37">
        <f t="shared" si="129"/>
        <v>0</v>
      </c>
      <c r="AT273" s="37">
        <f t="shared" si="130"/>
        <v>0</v>
      </c>
      <c r="AU273" s="37">
        <v>0</v>
      </c>
      <c r="AV273" s="37">
        <f t="shared" si="131"/>
        <v>0</v>
      </c>
    </row>
    <row r="274" spans="1:48" ht="12.75">
      <c r="A274" s="5" t="s">
        <v>219</v>
      </c>
      <c r="B274" s="5"/>
      <c r="C274" s="5" t="s">
        <v>592</v>
      </c>
      <c r="D274" s="5" t="s">
        <v>986</v>
      </c>
      <c r="E274" s="5" t="s">
        <v>1153</v>
      </c>
      <c r="F274" s="19">
        <v>39</v>
      </c>
      <c r="G274" s="19">
        <v>0</v>
      </c>
      <c r="H274" s="19">
        <f t="shared" si="112"/>
        <v>0</v>
      </c>
      <c r="I274" s="19">
        <f t="shared" si="113"/>
        <v>0</v>
      </c>
      <c r="J274" s="19">
        <f t="shared" si="114"/>
        <v>0</v>
      </c>
      <c r="K274" s="19">
        <v>0</v>
      </c>
      <c r="L274" s="19">
        <f t="shared" si="115"/>
        <v>0</v>
      </c>
      <c r="M274" s="33" t="s">
        <v>1177</v>
      </c>
      <c r="P274" s="37">
        <f t="shared" si="116"/>
        <v>0</v>
      </c>
      <c r="R274" s="37">
        <f t="shared" si="117"/>
        <v>0</v>
      </c>
      <c r="S274" s="37">
        <f t="shared" si="118"/>
        <v>0</v>
      </c>
      <c r="T274" s="37">
        <f t="shared" si="119"/>
        <v>0</v>
      </c>
      <c r="U274" s="37">
        <f t="shared" si="120"/>
        <v>0</v>
      </c>
      <c r="V274" s="37">
        <f t="shared" si="121"/>
        <v>0</v>
      </c>
      <c r="W274" s="37">
        <f t="shared" si="122"/>
        <v>0</v>
      </c>
      <c r="X274" s="37">
        <f t="shared" si="123"/>
        <v>0</v>
      </c>
      <c r="Y274" s="28"/>
      <c r="Z274" s="19">
        <f t="shared" si="124"/>
        <v>0</v>
      </c>
      <c r="AA274" s="19">
        <f t="shared" si="125"/>
        <v>0</v>
      </c>
      <c r="AB274" s="19">
        <f t="shared" si="126"/>
        <v>0</v>
      </c>
      <c r="AD274" s="37">
        <v>21</v>
      </c>
      <c r="AE274" s="37">
        <f t="shared" si="110"/>
        <v>0</v>
      </c>
      <c r="AF274" s="37">
        <f t="shared" si="111"/>
        <v>0</v>
      </c>
      <c r="AG274" s="33" t="s">
        <v>13</v>
      </c>
      <c r="AM274" s="37">
        <f t="shared" si="127"/>
        <v>0</v>
      </c>
      <c r="AN274" s="37">
        <f t="shared" si="128"/>
        <v>0</v>
      </c>
      <c r="AO274" s="38" t="s">
        <v>1211</v>
      </c>
      <c r="AP274" s="38" t="s">
        <v>1230</v>
      </c>
      <c r="AQ274" s="28" t="s">
        <v>1234</v>
      </c>
      <c r="AS274" s="37">
        <f t="shared" si="129"/>
        <v>0</v>
      </c>
      <c r="AT274" s="37">
        <f t="shared" si="130"/>
        <v>0</v>
      </c>
      <c r="AU274" s="37">
        <v>0</v>
      </c>
      <c r="AV274" s="37">
        <f t="shared" si="131"/>
        <v>0</v>
      </c>
    </row>
    <row r="275" spans="1:48" ht="12.75">
      <c r="A275" s="5" t="s">
        <v>220</v>
      </c>
      <c r="B275" s="5"/>
      <c r="C275" s="5" t="s">
        <v>593</v>
      </c>
      <c r="D275" s="5" t="s">
        <v>987</v>
      </c>
      <c r="E275" s="5" t="s">
        <v>1157</v>
      </c>
      <c r="F275" s="19">
        <v>21</v>
      </c>
      <c r="G275" s="19">
        <v>0</v>
      </c>
      <c r="H275" s="19">
        <f t="shared" si="112"/>
        <v>0</v>
      </c>
      <c r="I275" s="19">
        <f t="shared" si="113"/>
        <v>0</v>
      </c>
      <c r="J275" s="19">
        <f t="shared" si="114"/>
        <v>0</v>
      </c>
      <c r="K275" s="19">
        <v>0</v>
      </c>
      <c r="L275" s="19">
        <f t="shared" si="115"/>
        <v>0</v>
      </c>
      <c r="M275" s="33" t="s">
        <v>1177</v>
      </c>
      <c r="P275" s="37">
        <f t="shared" si="116"/>
        <v>0</v>
      </c>
      <c r="R275" s="37">
        <f t="shared" si="117"/>
        <v>0</v>
      </c>
      <c r="S275" s="37">
        <f t="shared" si="118"/>
        <v>0</v>
      </c>
      <c r="T275" s="37">
        <f t="shared" si="119"/>
        <v>0</v>
      </c>
      <c r="U275" s="37">
        <f t="shared" si="120"/>
        <v>0</v>
      </c>
      <c r="V275" s="37">
        <f t="shared" si="121"/>
        <v>0</v>
      </c>
      <c r="W275" s="37">
        <f t="shared" si="122"/>
        <v>0</v>
      </c>
      <c r="X275" s="37">
        <f t="shared" si="123"/>
        <v>0</v>
      </c>
      <c r="Y275" s="28"/>
      <c r="Z275" s="19">
        <f t="shared" si="124"/>
        <v>0</v>
      </c>
      <c r="AA275" s="19">
        <f t="shared" si="125"/>
        <v>0</v>
      </c>
      <c r="AB275" s="19">
        <f t="shared" si="126"/>
        <v>0</v>
      </c>
      <c r="AD275" s="37">
        <v>21</v>
      </c>
      <c r="AE275" s="37">
        <f t="shared" si="110"/>
        <v>0</v>
      </c>
      <c r="AF275" s="37">
        <f t="shared" si="111"/>
        <v>0</v>
      </c>
      <c r="AG275" s="33" t="s">
        <v>13</v>
      </c>
      <c r="AM275" s="37">
        <f t="shared" si="127"/>
        <v>0</v>
      </c>
      <c r="AN275" s="37">
        <f t="shared" si="128"/>
        <v>0</v>
      </c>
      <c r="AO275" s="38" t="s">
        <v>1211</v>
      </c>
      <c r="AP275" s="38" t="s">
        <v>1230</v>
      </c>
      <c r="AQ275" s="28" t="s">
        <v>1234</v>
      </c>
      <c r="AS275" s="37">
        <f t="shared" si="129"/>
        <v>0</v>
      </c>
      <c r="AT275" s="37">
        <f t="shared" si="130"/>
        <v>0</v>
      </c>
      <c r="AU275" s="37">
        <v>0</v>
      </c>
      <c r="AV275" s="37">
        <f t="shared" si="131"/>
        <v>0</v>
      </c>
    </row>
    <row r="276" spans="1:48" ht="12.75">
      <c r="A276" s="5" t="s">
        <v>221</v>
      </c>
      <c r="B276" s="5"/>
      <c r="C276" s="5" t="s">
        <v>594</v>
      </c>
      <c r="D276" s="5" t="s">
        <v>988</v>
      </c>
      <c r="E276" s="5" t="s">
        <v>1157</v>
      </c>
      <c r="F276" s="19">
        <v>2</v>
      </c>
      <c r="G276" s="19">
        <v>0</v>
      </c>
      <c r="H276" s="19">
        <f t="shared" si="112"/>
        <v>0</v>
      </c>
      <c r="I276" s="19">
        <f t="shared" si="113"/>
        <v>0</v>
      </c>
      <c r="J276" s="19">
        <f t="shared" si="114"/>
        <v>0</v>
      </c>
      <c r="K276" s="19">
        <v>0</v>
      </c>
      <c r="L276" s="19">
        <f t="shared" si="115"/>
        <v>0</v>
      </c>
      <c r="M276" s="33" t="s">
        <v>1177</v>
      </c>
      <c r="P276" s="37">
        <f t="shared" si="116"/>
        <v>0</v>
      </c>
      <c r="R276" s="37">
        <f t="shared" si="117"/>
        <v>0</v>
      </c>
      <c r="S276" s="37">
        <f t="shared" si="118"/>
        <v>0</v>
      </c>
      <c r="T276" s="37">
        <f t="shared" si="119"/>
        <v>0</v>
      </c>
      <c r="U276" s="37">
        <f t="shared" si="120"/>
        <v>0</v>
      </c>
      <c r="V276" s="37">
        <f t="shared" si="121"/>
        <v>0</v>
      </c>
      <c r="W276" s="37">
        <f t="shared" si="122"/>
        <v>0</v>
      </c>
      <c r="X276" s="37">
        <f t="shared" si="123"/>
        <v>0</v>
      </c>
      <c r="Y276" s="28"/>
      <c r="Z276" s="19">
        <f t="shared" si="124"/>
        <v>0</v>
      </c>
      <c r="AA276" s="19">
        <f t="shared" si="125"/>
        <v>0</v>
      </c>
      <c r="AB276" s="19">
        <f t="shared" si="126"/>
        <v>0</v>
      </c>
      <c r="AD276" s="37">
        <v>21</v>
      </c>
      <c r="AE276" s="37">
        <f t="shared" si="110"/>
        <v>0</v>
      </c>
      <c r="AF276" s="37">
        <f t="shared" si="111"/>
        <v>0</v>
      </c>
      <c r="AG276" s="33" t="s">
        <v>13</v>
      </c>
      <c r="AM276" s="37">
        <f t="shared" si="127"/>
        <v>0</v>
      </c>
      <c r="AN276" s="37">
        <f t="shared" si="128"/>
        <v>0</v>
      </c>
      <c r="AO276" s="38" t="s">
        <v>1211</v>
      </c>
      <c r="AP276" s="38" t="s">
        <v>1230</v>
      </c>
      <c r="AQ276" s="28" t="s">
        <v>1234</v>
      </c>
      <c r="AS276" s="37">
        <f t="shared" si="129"/>
        <v>0</v>
      </c>
      <c r="AT276" s="37">
        <f t="shared" si="130"/>
        <v>0</v>
      </c>
      <c r="AU276" s="37">
        <v>0</v>
      </c>
      <c r="AV276" s="37">
        <f t="shared" si="131"/>
        <v>0</v>
      </c>
    </row>
    <row r="277" spans="1:48" ht="12.75">
      <c r="A277" s="5" t="s">
        <v>222</v>
      </c>
      <c r="B277" s="5"/>
      <c r="C277" s="5" t="s">
        <v>595</v>
      </c>
      <c r="D277" s="5" t="s">
        <v>989</v>
      </c>
      <c r="E277" s="5" t="s">
        <v>1157</v>
      </c>
      <c r="F277" s="19">
        <v>12</v>
      </c>
      <c r="G277" s="19">
        <v>0</v>
      </c>
      <c r="H277" s="19">
        <f t="shared" si="112"/>
        <v>0</v>
      </c>
      <c r="I277" s="19">
        <f t="shared" si="113"/>
        <v>0</v>
      </c>
      <c r="J277" s="19">
        <f t="shared" si="114"/>
        <v>0</v>
      </c>
      <c r="K277" s="19">
        <v>0</v>
      </c>
      <c r="L277" s="19">
        <f t="shared" si="115"/>
        <v>0</v>
      </c>
      <c r="M277" s="33" t="s">
        <v>1177</v>
      </c>
      <c r="P277" s="37">
        <f t="shared" si="116"/>
        <v>0</v>
      </c>
      <c r="R277" s="37">
        <f t="shared" si="117"/>
        <v>0</v>
      </c>
      <c r="S277" s="37">
        <f t="shared" si="118"/>
        <v>0</v>
      </c>
      <c r="T277" s="37">
        <f t="shared" si="119"/>
        <v>0</v>
      </c>
      <c r="U277" s="37">
        <f t="shared" si="120"/>
        <v>0</v>
      </c>
      <c r="V277" s="37">
        <f t="shared" si="121"/>
        <v>0</v>
      </c>
      <c r="W277" s="37">
        <f t="shared" si="122"/>
        <v>0</v>
      </c>
      <c r="X277" s="37">
        <f t="shared" si="123"/>
        <v>0</v>
      </c>
      <c r="Y277" s="28"/>
      <c r="Z277" s="19">
        <f t="shared" si="124"/>
        <v>0</v>
      </c>
      <c r="AA277" s="19">
        <f t="shared" si="125"/>
        <v>0</v>
      </c>
      <c r="AB277" s="19">
        <f t="shared" si="126"/>
        <v>0</v>
      </c>
      <c r="AD277" s="37">
        <v>21</v>
      </c>
      <c r="AE277" s="37">
        <f t="shared" si="110"/>
        <v>0</v>
      </c>
      <c r="AF277" s="37">
        <f t="shared" si="111"/>
        <v>0</v>
      </c>
      <c r="AG277" s="33" t="s">
        <v>13</v>
      </c>
      <c r="AM277" s="37">
        <f t="shared" si="127"/>
        <v>0</v>
      </c>
      <c r="AN277" s="37">
        <f t="shared" si="128"/>
        <v>0</v>
      </c>
      <c r="AO277" s="38" t="s">
        <v>1211</v>
      </c>
      <c r="AP277" s="38" t="s">
        <v>1230</v>
      </c>
      <c r="AQ277" s="28" t="s">
        <v>1234</v>
      </c>
      <c r="AS277" s="37">
        <f t="shared" si="129"/>
        <v>0</v>
      </c>
      <c r="AT277" s="37">
        <f t="shared" si="130"/>
        <v>0</v>
      </c>
      <c r="AU277" s="37">
        <v>0</v>
      </c>
      <c r="AV277" s="37">
        <f t="shared" si="131"/>
        <v>0</v>
      </c>
    </row>
    <row r="278" spans="1:48" ht="12.75">
      <c r="A278" s="5" t="s">
        <v>223</v>
      </c>
      <c r="B278" s="5"/>
      <c r="C278" s="5" t="s">
        <v>596</v>
      </c>
      <c r="D278" s="5" t="s">
        <v>990</v>
      </c>
      <c r="E278" s="5" t="s">
        <v>1158</v>
      </c>
      <c r="F278" s="19">
        <v>4</v>
      </c>
      <c r="G278" s="19">
        <v>0</v>
      </c>
      <c r="H278" s="19">
        <f t="shared" si="112"/>
        <v>0</v>
      </c>
      <c r="I278" s="19">
        <f t="shared" si="113"/>
        <v>0</v>
      </c>
      <c r="J278" s="19">
        <f t="shared" si="114"/>
        <v>0</v>
      </c>
      <c r="K278" s="19">
        <v>0</v>
      </c>
      <c r="L278" s="19">
        <f t="shared" si="115"/>
        <v>0</v>
      </c>
      <c r="M278" s="33" t="s">
        <v>1177</v>
      </c>
      <c r="P278" s="37">
        <f t="shared" si="116"/>
        <v>0</v>
      </c>
      <c r="R278" s="37">
        <f t="shared" si="117"/>
        <v>0</v>
      </c>
      <c r="S278" s="37">
        <f t="shared" si="118"/>
        <v>0</v>
      </c>
      <c r="T278" s="37">
        <f t="shared" si="119"/>
        <v>0</v>
      </c>
      <c r="U278" s="37">
        <f t="shared" si="120"/>
        <v>0</v>
      </c>
      <c r="V278" s="37">
        <f t="shared" si="121"/>
        <v>0</v>
      </c>
      <c r="W278" s="37">
        <f t="shared" si="122"/>
        <v>0</v>
      </c>
      <c r="X278" s="37">
        <f t="shared" si="123"/>
        <v>0</v>
      </c>
      <c r="Y278" s="28"/>
      <c r="Z278" s="19">
        <f t="shared" si="124"/>
        <v>0</v>
      </c>
      <c r="AA278" s="19">
        <f t="shared" si="125"/>
        <v>0</v>
      </c>
      <c r="AB278" s="19">
        <f t="shared" si="126"/>
        <v>0</v>
      </c>
      <c r="AD278" s="37">
        <v>21</v>
      </c>
      <c r="AE278" s="37">
        <f t="shared" si="110"/>
        <v>0</v>
      </c>
      <c r="AF278" s="37">
        <f t="shared" si="111"/>
        <v>0</v>
      </c>
      <c r="AG278" s="33" t="s">
        <v>13</v>
      </c>
      <c r="AM278" s="37">
        <f t="shared" si="127"/>
        <v>0</v>
      </c>
      <c r="AN278" s="37">
        <f t="shared" si="128"/>
        <v>0</v>
      </c>
      <c r="AO278" s="38" t="s">
        <v>1211</v>
      </c>
      <c r="AP278" s="38" t="s">
        <v>1230</v>
      </c>
      <c r="AQ278" s="28" t="s">
        <v>1234</v>
      </c>
      <c r="AS278" s="37">
        <f t="shared" si="129"/>
        <v>0</v>
      </c>
      <c r="AT278" s="37">
        <f t="shared" si="130"/>
        <v>0</v>
      </c>
      <c r="AU278" s="37">
        <v>0</v>
      </c>
      <c r="AV278" s="37">
        <f t="shared" si="131"/>
        <v>0</v>
      </c>
    </row>
    <row r="279" spans="1:48" ht="12.75">
      <c r="A279" s="5" t="s">
        <v>224</v>
      </c>
      <c r="B279" s="5"/>
      <c r="C279" s="5" t="s">
        <v>597</v>
      </c>
      <c r="D279" s="5" t="s">
        <v>991</v>
      </c>
      <c r="E279" s="5" t="s">
        <v>1153</v>
      </c>
      <c r="F279" s="19">
        <v>10</v>
      </c>
      <c r="G279" s="19">
        <v>0</v>
      </c>
      <c r="H279" s="19">
        <f t="shared" si="112"/>
        <v>0</v>
      </c>
      <c r="I279" s="19">
        <f t="shared" si="113"/>
        <v>0</v>
      </c>
      <c r="J279" s="19">
        <f t="shared" si="114"/>
        <v>0</v>
      </c>
      <c r="K279" s="19">
        <v>0</v>
      </c>
      <c r="L279" s="19">
        <f t="shared" si="115"/>
        <v>0</v>
      </c>
      <c r="M279" s="33" t="s">
        <v>1177</v>
      </c>
      <c r="P279" s="37">
        <f t="shared" si="116"/>
        <v>0</v>
      </c>
      <c r="R279" s="37">
        <f t="shared" si="117"/>
        <v>0</v>
      </c>
      <c r="S279" s="37">
        <f t="shared" si="118"/>
        <v>0</v>
      </c>
      <c r="T279" s="37">
        <f t="shared" si="119"/>
        <v>0</v>
      </c>
      <c r="U279" s="37">
        <f t="shared" si="120"/>
        <v>0</v>
      </c>
      <c r="V279" s="37">
        <f t="shared" si="121"/>
        <v>0</v>
      </c>
      <c r="W279" s="37">
        <f t="shared" si="122"/>
        <v>0</v>
      </c>
      <c r="X279" s="37">
        <f t="shared" si="123"/>
        <v>0</v>
      </c>
      <c r="Y279" s="28"/>
      <c r="Z279" s="19">
        <f t="shared" si="124"/>
        <v>0</v>
      </c>
      <c r="AA279" s="19">
        <f t="shared" si="125"/>
        <v>0</v>
      </c>
      <c r="AB279" s="19">
        <f t="shared" si="126"/>
        <v>0</v>
      </c>
      <c r="AD279" s="37">
        <v>21</v>
      </c>
      <c r="AE279" s="37">
        <f t="shared" si="110"/>
        <v>0</v>
      </c>
      <c r="AF279" s="37">
        <f t="shared" si="111"/>
        <v>0</v>
      </c>
      <c r="AG279" s="33" t="s">
        <v>13</v>
      </c>
      <c r="AM279" s="37">
        <f t="shared" si="127"/>
        <v>0</v>
      </c>
      <c r="AN279" s="37">
        <f t="shared" si="128"/>
        <v>0</v>
      </c>
      <c r="AO279" s="38" t="s">
        <v>1211</v>
      </c>
      <c r="AP279" s="38" t="s">
        <v>1230</v>
      </c>
      <c r="AQ279" s="28" t="s">
        <v>1234</v>
      </c>
      <c r="AS279" s="37">
        <f t="shared" si="129"/>
        <v>0</v>
      </c>
      <c r="AT279" s="37">
        <f t="shared" si="130"/>
        <v>0</v>
      </c>
      <c r="AU279" s="37">
        <v>0</v>
      </c>
      <c r="AV279" s="37">
        <f t="shared" si="131"/>
        <v>0</v>
      </c>
    </row>
    <row r="280" spans="1:48" ht="12.75">
      <c r="A280" s="5" t="s">
        <v>225</v>
      </c>
      <c r="B280" s="5"/>
      <c r="C280" s="5" t="s">
        <v>598</v>
      </c>
      <c r="D280" s="5" t="s">
        <v>992</v>
      </c>
      <c r="E280" s="5" t="s">
        <v>1153</v>
      </c>
      <c r="F280" s="19">
        <v>1</v>
      </c>
      <c r="G280" s="19">
        <v>0</v>
      </c>
      <c r="H280" s="19">
        <f t="shared" si="112"/>
        <v>0</v>
      </c>
      <c r="I280" s="19">
        <f t="shared" si="113"/>
        <v>0</v>
      </c>
      <c r="J280" s="19">
        <f t="shared" si="114"/>
        <v>0</v>
      </c>
      <c r="K280" s="19">
        <v>0</v>
      </c>
      <c r="L280" s="19">
        <f t="shared" si="115"/>
        <v>0</v>
      </c>
      <c r="M280" s="33" t="s">
        <v>1177</v>
      </c>
      <c r="P280" s="37">
        <f t="shared" si="116"/>
        <v>0</v>
      </c>
      <c r="R280" s="37">
        <f t="shared" si="117"/>
        <v>0</v>
      </c>
      <c r="S280" s="37">
        <f t="shared" si="118"/>
        <v>0</v>
      </c>
      <c r="T280" s="37">
        <f t="shared" si="119"/>
        <v>0</v>
      </c>
      <c r="U280" s="37">
        <f t="shared" si="120"/>
        <v>0</v>
      </c>
      <c r="V280" s="37">
        <f t="shared" si="121"/>
        <v>0</v>
      </c>
      <c r="W280" s="37">
        <f t="shared" si="122"/>
        <v>0</v>
      </c>
      <c r="X280" s="37">
        <f t="shared" si="123"/>
        <v>0</v>
      </c>
      <c r="Y280" s="28"/>
      <c r="Z280" s="19">
        <f t="shared" si="124"/>
        <v>0</v>
      </c>
      <c r="AA280" s="19">
        <f t="shared" si="125"/>
        <v>0</v>
      </c>
      <c r="AB280" s="19">
        <f t="shared" si="126"/>
        <v>0</v>
      </c>
      <c r="AD280" s="37">
        <v>21</v>
      </c>
      <c r="AE280" s="37">
        <f t="shared" si="110"/>
        <v>0</v>
      </c>
      <c r="AF280" s="37">
        <f t="shared" si="111"/>
        <v>0</v>
      </c>
      <c r="AG280" s="33" t="s">
        <v>13</v>
      </c>
      <c r="AM280" s="37">
        <f t="shared" si="127"/>
        <v>0</v>
      </c>
      <c r="AN280" s="37">
        <f t="shared" si="128"/>
        <v>0</v>
      </c>
      <c r="AO280" s="38" t="s">
        <v>1211</v>
      </c>
      <c r="AP280" s="38" t="s">
        <v>1230</v>
      </c>
      <c r="AQ280" s="28" t="s">
        <v>1234</v>
      </c>
      <c r="AS280" s="37">
        <f t="shared" si="129"/>
        <v>0</v>
      </c>
      <c r="AT280" s="37">
        <f t="shared" si="130"/>
        <v>0</v>
      </c>
      <c r="AU280" s="37">
        <v>0</v>
      </c>
      <c r="AV280" s="37">
        <f t="shared" si="131"/>
        <v>0</v>
      </c>
    </row>
    <row r="281" spans="1:48" ht="12.75">
      <c r="A281" s="5" t="s">
        <v>226</v>
      </c>
      <c r="B281" s="5"/>
      <c r="C281" s="5" t="s">
        <v>599</v>
      </c>
      <c r="D281" s="5" t="s">
        <v>993</v>
      </c>
      <c r="E281" s="5" t="s">
        <v>1159</v>
      </c>
      <c r="F281" s="19">
        <v>1</v>
      </c>
      <c r="G281" s="19">
        <v>0</v>
      </c>
      <c r="H281" s="19">
        <f t="shared" si="112"/>
        <v>0</v>
      </c>
      <c r="I281" s="19">
        <f t="shared" si="113"/>
        <v>0</v>
      </c>
      <c r="J281" s="19">
        <f t="shared" si="114"/>
        <v>0</v>
      </c>
      <c r="K281" s="19">
        <v>0</v>
      </c>
      <c r="L281" s="19">
        <f t="shared" si="115"/>
        <v>0</v>
      </c>
      <c r="M281" s="33" t="s">
        <v>1177</v>
      </c>
      <c r="P281" s="37">
        <f t="shared" si="116"/>
        <v>0</v>
      </c>
      <c r="R281" s="37">
        <f t="shared" si="117"/>
        <v>0</v>
      </c>
      <c r="S281" s="37">
        <f t="shared" si="118"/>
        <v>0</v>
      </c>
      <c r="T281" s="37">
        <f t="shared" si="119"/>
        <v>0</v>
      </c>
      <c r="U281" s="37">
        <f t="shared" si="120"/>
        <v>0</v>
      </c>
      <c r="V281" s="37">
        <f t="shared" si="121"/>
        <v>0</v>
      </c>
      <c r="W281" s="37">
        <f t="shared" si="122"/>
        <v>0</v>
      </c>
      <c r="X281" s="37">
        <f t="shared" si="123"/>
        <v>0</v>
      </c>
      <c r="Y281" s="28"/>
      <c r="Z281" s="19">
        <f t="shared" si="124"/>
        <v>0</v>
      </c>
      <c r="AA281" s="19">
        <f t="shared" si="125"/>
        <v>0</v>
      </c>
      <c r="AB281" s="19">
        <f t="shared" si="126"/>
        <v>0</v>
      </c>
      <c r="AD281" s="37">
        <v>21</v>
      </c>
      <c r="AE281" s="37">
        <f t="shared" si="110"/>
        <v>0</v>
      </c>
      <c r="AF281" s="37">
        <f t="shared" si="111"/>
        <v>0</v>
      </c>
      <c r="AG281" s="33" t="s">
        <v>13</v>
      </c>
      <c r="AM281" s="37">
        <f t="shared" si="127"/>
        <v>0</v>
      </c>
      <c r="AN281" s="37">
        <f t="shared" si="128"/>
        <v>0</v>
      </c>
      <c r="AO281" s="38" t="s">
        <v>1211</v>
      </c>
      <c r="AP281" s="38" t="s">
        <v>1230</v>
      </c>
      <c r="AQ281" s="28" t="s">
        <v>1234</v>
      </c>
      <c r="AS281" s="37">
        <f t="shared" si="129"/>
        <v>0</v>
      </c>
      <c r="AT281" s="37">
        <f t="shared" si="130"/>
        <v>0</v>
      </c>
      <c r="AU281" s="37">
        <v>0</v>
      </c>
      <c r="AV281" s="37">
        <f t="shared" si="131"/>
        <v>0</v>
      </c>
    </row>
    <row r="282" spans="1:48" ht="12.75">
      <c r="A282" s="5" t="s">
        <v>227</v>
      </c>
      <c r="B282" s="5"/>
      <c r="C282" s="5" t="s">
        <v>600</v>
      </c>
      <c r="D282" s="5" t="s">
        <v>994</v>
      </c>
      <c r="E282" s="5" t="s">
        <v>1153</v>
      </c>
      <c r="F282" s="19">
        <v>9</v>
      </c>
      <c r="G282" s="19">
        <v>0</v>
      </c>
      <c r="H282" s="19">
        <f t="shared" si="112"/>
        <v>0</v>
      </c>
      <c r="I282" s="19">
        <f t="shared" si="113"/>
        <v>0</v>
      </c>
      <c r="J282" s="19">
        <f t="shared" si="114"/>
        <v>0</v>
      </c>
      <c r="K282" s="19">
        <v>0</v>
      </c>
      <c r="L282" s="19">
        <f t="shared" si="115"/>
        <v>0</v>
      </c>
      <c r="M282" s="33" t="s">
        <v>1177</v>
      </c>
      <c r="P282" s="37">
        <f t="shared" si="116"/>
        <v>0</v>
      </c>
      <c r="R282" s="37">
        <f t="shared" si="117"/>
        <v>0</v>
      </c>
      <c r="S282" s="37">
        <f t="shared" si="118"/>
        <v>0</v>
      </c>
      <c r="T282" s="37">
        <f t="shared" si="119"/>
        <v>0</v>
      </c>
      <c r="U282" s="37">
        <f t="shared" si="120"/>
        <v>0</v>
      </c>
      <c r="V282" s="37">
        <f t="shared" si="121"/>
        <v>0</v>
      </c>
      <c r="W282" s="37">
        <f t="shared" si="122"/>
        <v>0</v>
      </c>
      <c r="X282" s="37">
        <f t="shared" si="123"/>
        <v>0</v>
      </c>
      <c r="Y282" s="28"/>
      <c r="Z282" s="19">
        <f t="shared" si="124"/>
        <v>0</v>
      </c>
      <c r="AA282" s="19">
        <f t="shared" si="125"/>
        <v>0</v>
      </c>
      <c r="AB282" s="19">
        <f t="shared" si="126"/>
        <v>0</v>
      </c>
      <c r="AD282" s="37">
        <v>21</v>
      </c>
      <c r="AE282" s="37">
        <f t="shared" si="110"/>
        <v>0</v>
      </c>
      <c r="AF282" s="37">
        <f t="shared" si="111"/>
        <v>0</v>
      </c>
      <c r="AG282" s="33" t="s">
        <v>13</v>
      </c>
      <c r="AM282" s="37">
        <f t="shared" si="127"/>
        <v>0</v>
      </c>
      <c r="AN282" s="37">
        <f t="shared" si="128"/>
        <v>0</v>
      </c>
      <c r="AO282" s="38" t="s">
        <v>1211</v>
      </c>
      <c r="AP282" s="38" t="s">
        <v>1230</v>
      </c>
      <c r="AQ282" s="28" t="s">
        <v>1234</v>
      </c>
      <c r="AS282" s="37">
        <f t="shared" si="129"/>
        <v>0</v>
      </c>
      <c r="AT282" s="37">
        <f t="shared" si="130"/>
        <v>0</v>
      </c>
      <c r="AU282" s="37">
        <v>0</v>
      </c>
      <c r="AV282" s="37">
        <f t="shared" si="131"/>
        <v>0</v>
      </c>
    </row>
    <row r="283" spans="1:48" ht="12.75">
      <c r="A283" s="5" t="s">
        <v>228</v>
      </c>
      <c r="B283" s="5"/>
      <c r="C283" s="5" t="s">
        <v>601</v>
      </c>
      <c r="D283" s="5" t="s">
        <v>995</v>
      </c>
      <c r="E283" s="5" t="s">
        <v>1153</v>
      </c>
      <c r="F283" s="19">
        <v>9</v>
      </c>
      <c r="G283" s="19">
        <v>0</v>
      </c>
      <c r="H283" s="19">
        <f t="shared" si="112"/>
        <v>0</v>
      </c>
      <c r="I283" s="19">
        <f t="shared" si="113"/>
        <v>0</v>
      </c>
      <c r="J283" s="19">
        <f t="shared" si="114"/>
        <v>0</v>
      </c>
      <c r="K283" s="19">
        <v>0</v>
      </c>
      <c r="L283" s="19">
        <f t="shared" si="115"/>
        <v>0</v>
      </c>
      <c r="M283" s="33" t="s">
        <v>1177</v>
      </c>
      <c r="P283" s="37">
        <f t="shared" si="116"/>
        <v>0</v>
      </c>
      <c r="R283" s="37">
        <f t="shared" si="117"/>
        <v>0</v>
      </c>
      <c r="S283" s="37">
        <f t="shared" si="118"/>
        <v>0</v>
      </c>
      <c r="T283" s="37">
        <f t="shared" si="119"/>
        <v>0</v>
      </c>
      <c r="U283" s="37">
        <f t="shared" si="120"/>
        <v>0</v>
      </c>
      <c r="V283" s="37">
        <f t="shared" si="121"/>
        <v>0</v>
      </c>
      <c r="W283" s="37">
        <f t="shared" si="122"/>
        <v>0</v>
      </c>
      <c r="X283" s="37">
        <f t="shared" si="123"/>
        <v>0</v>
      </c>
      <c r="Y283" s="28"/>
      <c r="Z283" s="19">
        <f t="shared" si="124"/>
        <v>0</v>
      </c>
      <c r="AA283" s="19">
        <f t="shared" si="125"/>
        <v>0</v>
      </c>
      <c r="AB283" s="19">
        <f t="shared" si="126"/>
        <v>0</v>
      </c>
      <c r="AD283" s="37">
        <v>21</v>
      </c>
      <c r="AE283" s="37">
        <f t="shared" si="110"/>
        <v>0</v>
      </c>
      <c r="AF283" s="37">
        <f t="shared" si="111"/>
        <v>0</v>
      </c>
      <c r="AG283" s="33" t="s">
        <v>13</v>
      </c>
      <c r="AM283" s="37">
        <f t="shared" si="127"/>
        <v>0</v>
      </c>
      <c r="AN283" s="37">
        <f t="shared" si="128"/>
        <v>0</v>
      </c>
      <c r="AO283" s="38" t="s">
        <v>1211</v>
      </c>
      <c r="AP283" s="38" t="s">
        <v>1230</v>
      </c>
      <c r="AQ283" s="28" t="s">
        <v>1234</v>
      </c>
      <c r="AS283" s="37">
        <f t="shared" si="129"/>
        <v>0</v>
      </c>
      <c r="AT283" s="37">
        <f t="shared" si="130"/>
        <v>0</v>
      </c>
      <c r="AU283" s="37">
        <v>0</v>
      </c>
      <c r="AV283" s="37">
        <f t="shared" si="131"/>
        <v>0</v>
      </c>
    </row>
    <row r="284" spans="1:48" ht="12.75">
      <c r="A284" s="5" t="s">
        <v>229</v>
      </c>
      <c r="B284" s="5"/>
      <c r="C284" s="5" t="s">
        <v>602</v>
      </c>
      <c r="D284" s="5" t="s">
        <v>996</v>
      </c>
      <c r="E284" s="5" t="s">
        <v>1153</v>
      </c>
      <c r="F284" s="19">
        <v>1</v>
      </c>
      <c r="G284" s="19">
        <v>0</v>
      </c>
      <c r="H284" s="19">
        <f t="shared" si="112"/>
        <v>0</v>
      </c>
      <c r="I284" s="19">
        <f t="shared" si="113"/>
        <v>0</v>
      </c>
      <c r="J284" s="19">
        <f t="shared" si="114"/>
        <v>0</v>
      </c>
      <c r="K284" s="19">
        <v>0</v>
      </c>
      <c r="L284" s="19">
        <f t="shared" si="115"/>
        <v>0</v>
      </c>
      <c r="M284" s="33" t="s">
        <v>1177</v>
      </c>
      <c r="P284" s="37">
        <f t="shared" si="116"/>
        <v>0</v>
      </c>
      <c r="R284" s="37">
        <f t="shared" si="117"/>
        <v>0</v>
      </c>
      <c r="S284" s="37">
        <f t="shared" si="118"/>
        <v>0</v>
      </c>
      <c r="T284" s="37">
        <f t="shared" si="119"/>
        <v>0</v>
      </c>
      <c r="U284" s="37">
        <f t="shared" si="120"/>
        <v>0</v>
      </c>
      <c r="V284" s="37">
        <f t="shared" si="121"/>
        <v>0</v>
      </c>
      <c r="W284" s="37">
        <f t="shared" si="122"/>
        <v>0</v>
      </c>
      <c r="X284" s="37">
        <f t="shared" si="123"/>
        <v>0</v>
      </c>
      <c r="Y284" s="28"/>
      <c r="Z284" s="19">
        <f t="shared" si="124"/>
        <v>0</v>
      </c>
      <c r="AA284" s="19">
        <f t="shared" si="125"/>
        <v>0</v>
      </c>
      <c r="AB284" s="19">
        <f t="shared" si="126"/>
        <v>0</v>
      </c>
      <c r="AD284" s="37">
        <v>21</v>
      </c>
      <c r="AE284" s="37">
        <f t="shared" si="110"/>
        <v>0</v>
      </c>
      <c r="AF284" s="37">
        <f t="shared" si="111"/>
        <v>0</v>
      </c>
      <c r="AG284" s="33" t="s">
        <v>13</v>
      </c>
      <c r="AM284" s="37">
        <f t="shared" si="127"/>
        <v>0</v>
      </c>
      <c r="AN284" s="37">
        <f t="shared" si="128"/>
        <v>0</v>
      </c>
      <c r="AO284" s="38" t="s">
        <v>1211</v>
      </c>
      <c r="AP284" s="38" t="s">
        <v>1230</v>
      </c>
      <c r="AQ284" s="28" t="s">
        <v>1234</v>
      </c>
      <c r="AS284" s="37">
        <f t="shared" si="129"/>
        <v>0</v>
      </c>
      <c r="AT284" s="37">
        <f t="shared" si="130"/>
        <v>0</v>
      </c>
      <c r="AU284" s="37">
        <v>0</v>
      </c>
      <c r="AV284" s="37">
        <f t="shared" si="131"/>
        <v>0</v>
      </c>
    </row>
    <row r="285" spans="1:48" ht="12.75">
      <c r="A285" s="5" t="s">
        <v>230</v>
      </c>
      <c r="B285" s="5"/>
      <c r="C285" s="5" t="s">
        <v>603</v>
      </c>
      <c r="D285" s="5" t="s">
        <v>997</v>
      </c>
      <c r="E285" s="5" t="s">
        <v>1153</v>
      </c>
      <c r="F285" s="19">
        <v>1</v>
      </c>
      <c r="G285" s="19">
        <v>0</v>
      </c>
      <c r="H285" s="19">
        <f t="shared" si="112"/>
        <v>0</v>
      </c>
      <c r="I285" s="19">
        <f t="shared" si="113"/>
        <v>0</v>
      </c>
      <c r="J285" s="19">
        <f t="shared" si="114"/>
        <v>0</v>
      </c>
      <c r="K285" s="19">
        <v>0</v>
      </c>
      <c r="L285" s="19">
        <f t="shared" si="115"/>
        <v>0</v>
      </c>
      <c r="M285" s="33" t="s">
        <v>1177</v>
      </c>
      <c r="P285" s="37">
        <f t="shared" si="116"/>
        <v>0</v>
      </c>
      <c r="R285" s="37">
        <f t="shared" si="117"/>
        <v>0</v>
      </c>
      <c r="S285" s="37">
        <f t="shared" si="118"/>
        <v>0</v>
      </c>
      <c r="T285" s="37">
        <f t="shared" si="119"/>
        <v>0</v>
      </c>
      <c r="U285" s="37">
        <f t="shared" si="120"/>
        <v>0</v>
      </c>
      <c r="V285" s="37">
        <f t="shared" si="121"/>
        <v>0</v>
      </c>
      <c r="W285" s="37">
        <f t="shared" si="122"/>
        <v>0</v>
      </c>
      <c r="X285" s="37">
        <f t="shared" si="123"/>
        <v>0</v>
      </c>
      <c r="Y285" s="28"/>
      <c r="Z285" s="19">
        <f t="shared" si="124"/>
        <v>0</v>
      </c>
      <c r="AA285" s="19">
        <f t="shared" si="125"/>
        <v>0</v>
      </c>
      <c r="AB285" s="19">
        <f t="shared" si="126"/>
        <v>0</v>
      </c>
      <c r="AD285" s="37">
        <v>21</v>
      </c>
      <c r="AE285" s="37">
        <f t="shared" si="110"/>
        <v>0</v>
      </c>
      <c r="AF285" s="37">
        <f t="shared" si="111"/>
        <v>0</v>
      </c>
      <c r="AG285" s="33" t="s">
        <v>13</v>
      </c>
      <c r="AM285" s="37">
        <f t="shared" si="127"/>
        <v>0</v>
      </c>
      <c r="AN285" s="37">
        <f t="shared" si="128"/>
        <v>0</v>
      </c>
      <c r="AO285" s="38" t="s">
        <v>1211</v>
      </c>
      <c r="AP285" s="38" t="s">
        <v>1230</v>
      </c>
      <c r="AQ285" s="28" t="s">
        <v>1234</v>
      </c>
      <c r="AS285" s="37">
        <f t="shared" si="129"/>
        <v>0</v>
      </c>
      <c r="AT285" s="37">
        <f t="shared" si="130"/>
        <v>0</v>
      </c>
      <c r="AU285" s="37">
        <v>0</v>
      </c>
      <c r="AV285" s="37">
        <f t="shared" si="131"/>
        <v>0</v>
      </c>
    </row>
    <row r="286" spans="1:48" ht="12.75">
      <c r="A286" s="5" t="s">
        <v>231</v>
      </c>
      <c r="B286" s="5"/>
      <c r="C286" s="5" t="s">
        <v>604</v>
      </c>
      <c r="D286" s="5" t="s">
        <v>998</v>
      </c>
      <c r="E286" s="5" t="s">
        <v>1153</v>
      </c>
      <c r="F286" s="19">
        <v>1</v>
      </c>
      <c r="G286" s="19">
        <v>0</v>
      </c>
      <c r="H286" s="19">
        <f t="shared" si="112"/>
        <v>0</v>
      </c>
      <c r="I286" s="19">
        <f t="shared" si="113"/>
        <v>0</v>
      </c>
      <c r="J286" s="19">
        <f t="shared" si="114"/>
        <v>0</v>
      </c>
      <c r="K286" s="19">
        <v>0</v>
      </c>
      <c r="L286" s="19">
        <f t="shared" si="115"/>
        <v>0</v>
      </c>
      <c r="M286" s="33" t="s">
        <v>1177</v>
      </c>
      <c r="P286" s="37">
        <f t="shared" si="116"/>
        <v>0</v>
      </c>
      <c r="R286" s="37">
        <f t="shared" si="117"/>
        <v>0</v>
      </c>
      <c r="S286" s="37">
        <f t="shared" si="118"/>
        <v>0</v>
      </c>
      <c r="T286" s="37">
        <f t="shared" si="119"/>
        <v>0</v>
      </c>
      <c r="U286" s="37">
        <f t="shared" si="120"/>
        <v>0</v>
      </c>
      <c r="V286" s="37">
        <f t="shared" si="121"/>
        <v>0</v>
      </c>
      <c r="W286" s="37">
        <f t="shared" si="122"/>
        <v>0</v>
      </c>
      <c r="X286" s="37">
        <f t="shared" si="123"/>
        <v>0</v>
      </c>
      <c r="Y286" s="28"/>
      <c r="Z286" s="19">
        <f t="shared" si="124"/>
        <v>0</v>
      </c>
      <c r="AA286" s="19">
        <f t="shared" si="125"/>
        <v>0</v>
      </c>
      <c r="AB286" s="19">
        <f t="shared" si="126"/>
        <v>0</v>
      </c>
      <c r="AD286" s="37">
        <v>21</v>
      </c>
      <c r="AE286" s="37">
        <f aca="true" t="shared" si="132" ref="AE286:AE312">G286*0</f>
        <v>0</v>
      </c>
      <c r="AF286" s="37">
        <f aca="true" t="shared" si="133" ref="AF286:AF312">G286*(1-0)</f>
        <v>0</v>
      </c>
      <c r="AG286" s="33" t="s">
        <v>13</v>
      </c>
      <c r="AM286" s="37">
        <f t="shared" si="127"/>
        <v>0</v>
      </c>
      <c r="AN286" s="37">
        <f t="shared" si="128"/>
        <v>0</v>
      </c>
      <c r="AO286" s="38" t="s">
        <v>1211</v>
      </c>
      <c r="AP286" s="38" t="s">
        <v>1230</v>
      </c>
      <c r="AQ286" s="28" t="s">
        <v>1234</v>
      </c>
      <c r="AS286" s="37">
        <f t="shared" si="129"/>
        <v>0</v>
      </c>
      <c r="AT286" s="37">
        <f t="shared" si="130"/>
        <v>0</v>
      </c>
      <c r="AU286" s="37">
        <v>0</v>
      </c>
      <c r="AV286" s="37">
        <f t="shared" si="131"/>
        <v>0</v>
      </c>
    </row>
    <row r="287" spans="1:48" ht="12.75">
      <c r="A287" s="5" t="s">
        <v>232</v>
      </c>
      <c r="B287" s="5"/>
      <c r="C287" s="5" t="s">
        <v>605</v>
      </c>
      <c r="D287" s="5" t="s">
        <v>999</v>
      </c>
      <c r="E287" s="5" t="s">
        <v>1153</v>
      </c>
      <c r="F287" s="19">
        <v>1</v>
      </c>
      <c r="G287" s="19">
        <v>0</v>
      </c>
      <c r="H287" s="19">
        <f t="shared" si="112"/>
        <v>0</v>
      </c>
      <c r="I287" s="19">
        <f t="shared" si="113"/>
        <v>0</v>
      </c>
      <c r="J287" s="19">
        <f t="shared" si="114"/>
        <v>0</v>
      </c>
      <c r="K287" s="19">
        <v>0</v>
      </c>
      <c r="L287" s="19">
        <f t="shared" si="115"/>
        <v>0</v>
      </c>
      <c r="M287" s="33" t="s">
        <v>1177</v>
      </c>
      <c r="P287" s="37">
        <f t="shared" si="116"/>
        <v>0</v>
      </c>
      <c r="R287" s="37">
        <f t="shared" si="117"/>
        <v>0</v>
      </c>
      <c r="S287" s="37">
        <f t="shared" si="118"/>
        <v>0</v>
      </c>
      <c r="T287" s="37">
        <f t="shared" si="119"/>
        <v>0</v>
      </c>
      <c r="U287" s="37">
        <f t="shared" si="120"/>
        <v>0</v>
      </c>
      <c r="V287" s="37">
        <f t="shared" si="121"/>
        <v>0</v>
      </c>
      <c r="W287" s="37">
        <f t="shared" si="122"/>
        <v>0</v>
      </c>
      <c r="X287" s="37">
        <f t="shared" si="123"/>
        <v>0</v>
      </c>
      <c r="Y287" s="28"/>
      <c r="Z287" s="19">
        <f t="shared" si="124"/>
        <v>0</v>
      </c>
      <c r="AA287" s="19">
        <f t="shared" si="125"/>
        <v>0</v>
      </c>
      <c r="AB287" s="19">
        <f t="shared" si="126"/>
        <v>0</v>
      </c>
      <c r="AD287" s="37">
        <v>21</v>
      </c>
      <c r="AE287" s="37">
        <f t="shared" si="132"/>
        <v>0</v>
      </c>
      <c r="AF287" s="37">
        <f t="shared" si="133"/>
        <v>0</v>
      </c>
      <c r="AG287" s="33" t="s">
        <v>13</v>
      </c>
      <c r="AM287" s="37">
        <f t="shared" si="127"/>
        <v>0</v>
      </c>
      <c r="AN287" s="37">
        <f t="shared" si="128"/>
        <v>0</v>
      </c>
      <c r="AO287" s="38" t="s">
        <v>1211</v>
      </c>
      <c r="AP287" s="38" t="s">
        <v>1230</v>
      </c>
      <c r="AQ287" s="28" t="s">
        <v>1234</v>
      </c>
      <c r="AS287" s="37">
        <f t="shared" si="129"/>
        <v>0</v>
      </c>
      <c r="AT287" s="37">
        <f t="shared" si="130"/>
        <v>0</v>
      </c>
      <c r="AU287" s="37">
        <v>0</v>
      </c>
      <c r="AV287" s="37">
        <f t="shared" si="131"/>
        <v>0</v>
      </c>
    </row>
    <row r="288" spans="1:48" ht="12.75">
      <c r="A288" s="5" t="s">
        <v>233</v>
      </c>
      <c r="B288" s="5"/>
      <c r="C288" s="5" t="s">
        <v>606</v>
      </c>
      <c r="D288" s="5" t="s">
        <v>1000</v>
      </c>
      <c r="E288" s="5" t="s">
        <v>1153</v>
      </c>
      <c r="F288" s="19">
        <v>2</v>
      </c>
      <c r="G288" s="19">
        <v>0</v>
      </c>
      <c r="H288" s="19">
        <f t="shared" si="112"/>
        <v>0</v>
      </c>
      <c r="I288" s="19">
        <f t="shared" si="113"/>
        <v>0</v>
      </c>
      <c r="J288" s="19">
        <f t="shared" si="114"/>
        <v>0</v>
      </c>
      <c r="K288" s="19">
        <v>0</v>
      </c>
      <c r="L288" s="19">
        <f t="shared" si="115"/>
        <v>0</v>
      </c>
      <c r="M288" s="33" t="s">
        <v>1177</v>
      </c>
      <c r="P288" s="37">
        <f t="shared" si="116"/>
        <v>0</v>
      </c>
      <c r="R288" s="37">
        <f t="shared" si="117"/>
        <v>0</v>
      </c>
      <c r="S288" s="37">
        <f t="shared" si="118"/>
        <v>0</v>
      </c>
      <c r="T288" s="37">
        <f t="shared" si="119"/>
        <v>0</v>
      </c>
      <c r="U288" s="37">
        <f t="shared" si="120"/>
        <v>0</v>
      </c>
      <c r="V288" s="37">
        <f t="shared" si="121"/>
        <v>0</v>
      </c>
      <c r="W288" s="37">
        <f t="shared" si="122"/>
        <v>0</v>
      </c>
      <c r="X288" s="37">
        <f t="shared" si="123"/>
        <v>0</v>
      </c>
      <c r="Y288" s="28"/>
      <c r="Z288" s="19">
        <f t="shared" si="124"/>
        <v>0</v>
      </c>
      <c r="AA288" s="19">
        <f t="shared" si="125"/>
        <v>0</v>
      </c>
      <c r="AB288" s="19">
        <f t="shared" si="126"/>
        <v>0</v>
      </c>
      <c r="AD288" s="37">
        <v>21</v>
      </c>
      <c r="AE288" s="37">
        <f t="shared" si="132"/>
        <v>0</v>
      </c>
      <c r="AF288" s="37">
        <f t="shared" si="133"/>
        <v>0</v>
      </c>
      <c r="AG288" s="33" t="s">
        <v>13</v>
      </c>
      <c r="AM288" s="37">
        <f t="shared" si="127"/>
        <v>0</v>
      </c>
      <c r="AN288" s="37">
        <f t="shared" si="128"/>
        <v>0</v>
      </c>
      <c r="AO288" s="38" t="s">
        <v>1211</v>
      </c>
      <c r="AP288" s="38" t="s">
        <v>1230</v>
      </c>
      <c r="AQ288" s="28" t="s">
        <v>1234</v>
      </c>
      <c r="AS288" s="37">
        <f t="shared" si="129"/>
        <v>0</v>
      </c>
      <c r="AT288" s="37">
        <f t="shared" si="130"/>
        <v>0</v>
      </c>
      <c r="AU288" s="37">
        <v>0</v>
      </c>
      <c r="AV288" s="37">
        <f t="shared" si="131"/>
        <v>0</v>
      </c>
    </row>
    <row r="289" spans="1:48" ht="12.75">
      <c r="A289" s="5" t="s">
        <v>234</v>
      </c>
      <c r="B289" s="5"/>
      <c r="C289" s="5" t="s">
        <v>607</v>
      </c>
      <c r="D289" s="5" t="s">
        <v>1001</v>
      </c>
      <c r="E289" s="5" t="s">
        <v>1153</v>
      </c>
      <c r="F289" s="19">
        <v>2</v>
      </c>
      <c r="G289" s="19">
        <v>0</v>
      </c>
      <c r="H289" s="19">
        <f t="shared" si="112"/>
        <v>0</v>
      </c>
      <c r="I289" s="19">
        <f t="shared" si="113"/>
        <v>0</v>
      </c>
      <c r="J289" s="19">
        <f t="shared" si="114"/>
        <v>0</v>
      </c>
      <c r="K289" s="19">
        <v>0</v>
      </c>
      <c r="L289" s="19">
        <f t="shared" si="115"/>
        <v>0</v>
      </c>
      <c r="M289" s="33" t="s">
        <v>1177</v>
      </c>
      <c r="P289" s="37">
        <f t="shared" si="116"/>
        <v>0</v>
      </c>
      <c r="R289" s="37">
        <f t="shared" si="117"/>
        <v>0</v>
      </c>
      <c r="S289" s="37">
        <f t="shared" si="118"/>
        <v>0</v>
      </c>
      <c r="T289" s="37">
        <f t="shared" si="119"/>
        <v>0</v>
      </c>
      <c r="U289" s="37">
        <f t="shared" si="120"/>
        <v>0</v>
      </c>
      <c r="V289" s="37">
        <f t="shared" si="121"/>
        <v>0</v>
      </c>
      <c r="W289" s="37">
        <f t="shared" si="122"/>
        <v>0</v>
      </c>
      <c r="X289" s="37">
        <f t="shared" si="123"/>
        <v>0</v>
      </c>
      <c r="Y289" s="28"/>
      <c r="Z289" s="19">
        <f t="shared" si="124"/>
        <v>0</v>
      </c>
      <c r="AA289" s="19">
        <f t="shared" si="125"/>
        <v>0</v>
      </c>
      <c r="AB289" s="19">
        <f t="shared" si="126"/>
        <v>0</v>
      </c>
      <c r="AD289" s="37">
        <v>21</v>
      </c>
      <c r="AE289" s="37">
        <f t="shared" si="132"/>
        <v>0</v>
      </c>
      <c r="AF289" s="37">
        <f t="shared" si="133"/>
        <v>0</v>
      </c>
      <c r="AG289" s="33" t="s">
        <v>13</v>
      </c>
      <c r="AM289" s="37">
        <f t="shared" si="127"/>
        <v>0</v>
      </c>
      <c r="AN289" s="37">
        <f t="shared" si="128"/>
        <v>0</v>
      </c>
      <c r="AO289" s="38" t="s">
        <v>1211</v>
      </c>
      <c r="AP289" s="38" t="s">
        <v>1230</v>
      </c>
      <c r="AQ289" s="28" t="s">
        <v>1234</v>
      </c>
      <c r="AS289" s="37">
        <f t="shared" si="129"/>
        <v>0</v>
      </c>
      <c r="AT289" s="37">
        <f t="shared" si="130"/>
        <v>0</v>
      </c>
      <c r="AU289" s="37">
        <v>0</v>
      </c>
      <c r="AV289" s="37">
        <f t="shared" si="131"/>
        <v>0</v>
      </c>
    </row>
    <row r="290" spans="1:48" ht="12.75">
      <c r="A290" s="5" t="s">
        <v>235</v>
      </c>
      <c r="B290" s="5"/>
      <c r="C290" s="5" t="s">
        <v>608</v>
      </c>
      <c r="D290" s="5" t="s">
        <v>1002</v>
      </c>
      <c r="E290" s="5" t="s">
        <v>1153</v>
      </c>
      <c r="F290" s="19">
        <v>1</v>
      </c>
      <c r="G290" s="19">
        <v>0</v>
      </c>
      <c r="H290" s="19">
        <f t="shared" si="112"/>
        <v>0</v>
      </c>
      <c r="I290" s="19">
        <f t="shared" si="113"/>
        <v>0</v>
      </c>
      <c r="J290" s="19">
        <f t="shared" si="114"/>
        <v>0</v>
      </c>
      <c r="K290" s="19">
        <v>0</v>
      </c>
      <c r="L290" s="19">
        <f t="shared" si="115"/>
        <v>0</v>
      </c>
      <c r="M290" s="33" t="s">
        <v>1177</v>
      </c>
      <c r="P290" s="37">
        <f t="shared" si="116"/>
        <v>0</v>
      </c>
      <c r="R290" s="37">
        <f t="shared" si="117"/>
        <v>0</v>
      </c>
      <c r="S290" s="37">
        <f t="shared" si="118"/>
        <v>0</v>
      </c>
      <c r="T290" s="37">
        <f t="shared" si="119"/>
        <v>0</v>
      </c>
      <c r="U290" s="37">
        <f t="shared" si="120"/>
        <v>0</v>
      </c>
      <c r="V290" s="37">
        <f t="shared" si="121"/>
        <v>0</v>
      </c>
      <c r="W290" s="37">
        <f t="shared" si="122"/>
        <v>0</v>
      </c>
      <c r="X290" s="37">
        <f t="shared" si="123"/>
        <v>0</v>
      </c>
      <c r="Y290" s="28"/>
      <c r="Z290" s="19">
        <f t="shared" si="124"/>
        <v>0</v>
      </c>
      <c r="AA290" s="19">
        <f t="shared" si="125"/>
        <v>0</v>
      </c>
      <c r="AB290" s="19">
        <f t="shared" si="126"/>
        <v>0</v>
      </c>
      <c r="AD290" s="37">
        <v>21</v>
      </c>
      <c r="AE290" s="37">
        <f t="shared" si="132"/>
        <v>0</v>
      </c>
      <c r="AF290" s="37">
        <f t="shared" si="133"/>
        <v>0</v>
      </c>
      <c r="AG290" s="33" t="s">
        <v>13</v>
      </c>
      <c r="AM290" s="37">
        <f t="shared" si="127"/>
        <v>0</v>
      </c>
      <c r="AN290" s="37">
        <f t="shared" si="128"/>
        <v>0</v>
      </c>
      <c r="AO290" s="38" t="s">
        <v>1211</v>
      </c>
      <c r="AP290" s="38" t="s">
        <v>1230</v>
      </c>
      <c r="AQ290" s="28" t="s">
        <v>1234</v>
      </c>
      <c r="AS290" s="37">
        <f t="shared" si="129"/>
        <v>0</v>
      </c>
      <c r="AT290" s="37">
        <f t="shared" si="130"/>
        <v>0</v>
      </c>
      <c r="AU290" s="37">
        <v>0</v>
      </c>
      <c r="AV290" s="37">
        <f t="shared" si="131"/>
        <v>0</v>
      </c>
    </row>
    <row r="291" spans="1:48" ht="12.75">
      <c r="A291" s="5" t="s">
        <v>236</v>
      </c>
      <c r="B291" s="5"/>
      <c r="C291" s="5" t="s">
        <v>609</v>
      </c>
      <c r="D291" s="5" t="s">
        <v>1003</v>
      </c>
      <c r="E291" s="5" t="s">
        <v>1153</v>
      </c>
      <c r="F291" s="19">
        <v>48</v>
      </c>
      <c r="G291" s="19">
        <v>0</v>
      </c>
      <c r="H291" s="19">
        <f t="shared" si="112"/>
        <v>0</v>
      </c>
      <c r="I291" s="19">
        <f t="shared" si="113"/>
        <v>0</v>
      </c>
      <c r="J291" s="19">
        <f t="shared" si="114"/>
        <v>0</v>
      </c>
      <c r="K291" s="19">
        <v>0</v>
      </c>
      <c r="L291" s="19">
        <f t="shared" si="115"/>
        <v>0</v>
      </c>
      <c r="M291" s="33" t="s">
        <v>1177</v>
      </c>
      <c r="P291" s="37">
        <f t="shared" si="116"/>
        <v>0</v>
      </c>
      <c r="R291" s="37">
        <f t="shared" si="117"/>
        <v>0</v>
      </c>
      <c r="S291" s="37">
        <f t="shared" si="118"/>
        <v>0</v>
      </c>
      <c r="T291" s="37">
        <f t="shared" si="119"/>
        <v>0</v>
      </c>
      <c r="U291" s="37">
        <f t="shared" si="120"/>
        <v>0</v>
      </c>
      <c r="V291" s="37">
        <f t="shared" si="121"/>
        <v>0</v>
      </c>
      <c r="W291" s="37">
        <f t="shared" si="122"/>
        <v>0</v>
      </c>
      <c r="X291" s="37">
        <f t="shared" si="123"/>
        <v>0</v>
      </c>
      <c r="Y291" s="28"/>
      <c r="Z291" s="19">
        <f t="shared" si="124"/>
        <v>0</v>
      </c>
      <c r="AA291" s="19">
        <f t="shared" si="125"/>
        <v>0</v>
      </c>
      <c r="AB291" s="19">
        <f t="shared" si="126"/>
        <v>0</v>
      </c>
      <c r="AD291" s="37">
        <v>21</v>
      </c>
      <c r="AE291" s="37">
        <f t="shared" si="132"/>
        <v>0</v>
      </c>
      <c r="AF291" s="37">
        <f t="shared" si="133"/>
        <v>0</v>
      </c>
      <c r="AG291" s="33" t="s">
        <v>13</v>
      </c>
      <c r="AM291" s="37">
        <f t="shared" si="127"/>
        <v>0</v>
      </c>
      <c r="AN291" s="37">
        <f t="shared" si="128"/>
        <v>0</v>
      </c>
      <c r="AO291" s="38" t="s">
        <v>1211</v>
      </c>
      <c r="AP291" s="38" t="s">
        <v>1230</v>
      </c>
      <c r="AQ291" s="28" t="s">
        <v>1234</v>
      </c>
      <c r="AS291" s="37">
        <f t="shared" si="129"/>
        <v>0</v>
      </c>
      <c r="AT291" s="37">
        <f t="shared" si="130"/>
        <v>0</v>
      </c>
      <c r="AU291" s="37">
        <v>0</v>
      </c>
      <c r="AV291" s="37">
        <f t="shared" si="131"/>
        <v>0</v>
      </c>
    </row>
    <row r="292" spans="1:48" ht="12.75">
      <c r="A292" s="5" t="s">
        <v>237</v>
      </c>
      <c r="B292" s="5"/>
      <c r="C292" s="5" t="s">
        <v>610</v>
      </c>
      <c r="D292" s="5" t="s">
        <v>1004</v>
      </c>
      <c r="E292" s="5" t="s">
        <v>1153</v>
      </c>
      <c r="F292" s="19">
        <v>6</v>
      </c>
      <c r="G292" s="19">
        <v>0</v>
      </c>
      <c r="H292" s="19">
        <f t="shared" si="112"/>
        <v>0</v>
      </c>
      <c r="I292" s="19">
        <f t="shared" si="113"/>
        <v>0</v>
      </c>
      <c r="J292" s="19">
        <f t="shared" si="114"/>
        <v>0</v>
      </c>
      <c r="K292" s="19">
        <v>0</v>
      </c>
      <c r="L292" s="19">
        <f t="shared" si="115"/>
        <v>0</v>
      </c>
      <c r="M292" s="33" t="s">
        <v>1177</v>
      </c>
      <c r="P292" s="37">
        <f t="shared" si="116"/>
        <v>0</v>
      </c>
      <c r="R292" s="37">
        <f t="shared" si="117"/>
        <v>0</v>
      </c>
      <c r="S292" s="37">
        <f t="shared" si="118"/>
        <v>0</v>
      </c>
      <c r="T292" s="37">
        <f t="shared" si="119"/>
        <v>0</v>
      </c>
      <c r="U292" s="37">
        <f t="shared" si="120"/>
        <v>0</v>
      </c>
      <c r="V292" s="37">
        <f t="shared" si="121"/>
        <v>0</v>
      </c>
      <c r="W292" s="37">
        <f t="shared" si="122"/>
        <v>0</v>
      </c>
      <c r="X292" s="37">
        <f t="shared" si="123"/>
        <v>0</v>
      </c>
      <c r="Y292" s="28"/>
      <c r="Z292" s="19">
        <f t="shared" si="124"/>
        <v>0</v>
      </c>
      <c r="AA292" s="19">
        <f t="shared" si="125"/>
        <v>0</v>
      </c>
      <c r="AB292" s="19">
        <f t="shared" si="126"/>
        <v>0</v>
      </c>
      <c r="AD292" s="37">
        <v>21</v>
      </c>
      <c r="AE292" s="37">
        <f t="shared" si="132"/>
        <v>0</v>
      </c>
      <c r="AF292" s="37">
        <f t="shared" si="133"/>
        <v>0</v>
      </c>
      <c r="AG292" s="33" t="s">
        <v>13</v>
      </c>
      <c r="AM292" s="37">
        <f t="shared" si="127"/>
        <v>0</v>
      </c>
      <c r="AN292" s="37">
        <f t="shared" si="128"/>
        <v>0</v>
      </c>
      <c r="AO292" s="38" t="s">
        <v>1211</v>
      </c>
      <c r="AP292" s="38" t="s">
        <v>1230</v>
      </c>
      <c r="AQ292" s="28" t="s">
        <v>1234</v>
      </c>
      <c r="AS292" s="37">
        <f t="shared" si="129"/>
        <v>0</v>
      </c>
      <c r="AT292" s="37">
        <f t="shared" si="130"/>
        <v>0</v>
      </c>
      <c r="AU292" s="37">
        <v>0</v>
      </c>
      <c r="AV292" s="37">
        <f t="shared" si="131"/>
        <v>0</v>
      </c>
    </row>
    <row r="293" spans="1:48" ht="12.75">
      <c r="A293" s="5" t="s">
        <v>238</v>
      </c>
      <c r="B293" s="5"/>
      <c r="C293" s="5" t="s">
        <v>611</v>
      </c>
      <c r="D293" s="5" t="s">
        <v>1005</v>
      </c>
      <c r="E293" s="5" t="s">
        <v>1153</v>
      </c>
      <c r="F293" s="19">
        <v>12</v>
      </c>
      <c r="G293" s="19">
        <v>0</v>
      </c>
      <c r="H293" s="19">
        <f t="shared" si="112"/>
        <v>0</v>
      </c>
      <c r="I293" s="19">
        <f t="shared" si="113"/>
        <v>0</v>
      </c>
      <c r="J293" s="19">
        <f t="shared" si="114"/>
        <v>0</v>
      </c>
      <c r="K293" s="19">
        <v>0</v>
      </c>
      <c r="L293" s="19">
        <f t="shared" si="115"/>
        <v>0</v>
      </c>
      <c r="M293" s="33" t="s">
        <v>1177</v>
      </c>
      <c r="P293" s="37">
        <f t="shared" si="116"/>
        <v>0</v>
      </c>
      <c r="R293" s="37">
        <f t="shared" si="117"/>
        <v>0</v>
      </c>
      <c r="S293" s="37">
        <f t="shared" si="118"/>
        <v>0</v>
      </c>
      <c r="T293" s="37">
        <f t="shared" si="119"/>
        <v>0</v>
      </c>
      <c r="U293" s="37">
        <f t="shared" si="120"/>
        <v>0</v>
      </c>
      <c r="V293" s="37">
        <f t="shared" si="121"/>
        <v>0</v>
      </c>
      <c r="W293" s="37">
        <f t="shared" si="122"/>
        <v>0</v>
      </c>
      <c r="X293" s="37">
        <f t="shared" si="123"/>
        <v>0</v>
      </c>
      <c r="Y293" s="28"/>
      <c r="Z293" s="19">
        <f t="shared" si="124"/>
        <v>0</v>
      </c>
      <c r="AA293" s="19">
        <f t="shared" si="125"/>
        <v>0</v>
      </c>
      <c r="AB293" s="19">
        <f t="shared" si="126"/>
        <v>0</v>
      </c>
      <c r="AD293" s="37">
        <v>21</v>
      </c>
      <c r="AE293" s="37">
        <f t="shared" si="132"/>
        <v>0</v>
      </c>
      <c r="AF293" s="37">
        <f t="shared" si="133"/>
        <v>0</v>
      </c>
      <c r="AG293" s="33" t="s">
        <v>13</v>
      </c>
      <c r="AM293" s="37">
        <f t="shared" si="127"/>
        <v>0</v>
      </c>
      <c r="AN293" s="37">
        <f t="shared" si="128"/>
        <v>0</v>
      </c>
      <c r="AO293" s="38" t="s">
        <v>1211</v>
      </c>
      <c r="AP293" s="38" t="s">
        <v>1230</v>
      </c>
      <c r="AQ293" s="28" t="s">
        <v>1234</v>
      </c>
      <c r="AS293" s="37">
        <f t="shared" si="129"/>
        <v>0</v>
      </c>
      <c r="AT293" s="37">
        <f t="shared" si="130"/>
        <v>0</v>
      </c>
      <c r="AU293" s="37">
        <v>0</v>
      </c>
      <c r="AV293" s="37">
        <f t="shared" si="131"/>
        <v>0</v>
      </c>
    </row>
    <row r="294" spans="1:48" ht="12.75">
      <c r="A294" s="5" t="s">
        <v>239</v>
      </c>
      <c r="B294" s="5"/>
      <c r="C294" s="5" t="s">
        <v>612</v>
      </c>
      <c r="D294" s="5" t="s">
        <v>1006</v>
      </c>
      <c r="E294" s="5" t="s">
        <v>1153</v>
      </c>
      <c r="F294" s="19">
        <v>1</v>
      </c>
      <c r="G294" s="19">
        <v>0</v>
      </c>
      <c r="H294" s="19">
        <f t="shared" si="112"/>
        <v>0</v>
      </c>
      <c r="I294" s="19">
        <f t="shared" si="113"/>
        <v>0</v>
      </c>
      <c r="J294" s="19">
        <f t="shared" si="114"/>
        <v>0</v>
      </c>
      <c r="K294" s="19">
        <v>0</v>
      </c>
      <c r="L294" s="19">
        <f t="shared" si="115"/>
        <v>0</v>
      </c>
      <c r="M294" s="33" t="s">
        <v>1177</v>
      </c>
      <c r="P294" s="37">
        <f t="shared" si="116"/>
        <v>0</v>
      </c>
      <c r="R294" s="37">
        <f t="shared" si="117"/>
        <v>0</v>
      </c>
      <c r="S294" s="37">
        <f t="shared" si="118"/>
        <v>0</v>
      </c>
      <c r="T294" s="37">
        <f t="shared" si="119"/>
        <v>0</v>
      </c>
      <c r="U294" s="37">
        <f t="shared" si="120"/>
        <v>0</v>
      </c>
      <c r="V294" s="37">
        <f t="shared" si="121"/>
        <v>0</v>
      </c>
      <c r="W294" s="37">
        <f t="shared" si="122"/>
        <v>0</v>
      </c>
      <c r="X294" s="37">
        <f t="shared" si="123"/>
        <v>0</v>
      </c>
      <c r="Y294" s="28"/>
      <c r="Z294" s="19">
        <f t="shared" si="124"/>
        <v>0</v>
      </c>
      <c r="AA294" s="19">
        <f t="shared" si="125"/>
        <v>0</v>
      </c>
      <c r="AB294" s="19">
        <f t="shared" si="126"/>
        <v>0</v>
      </c>
      <c r="AD294" s="37">
        <v>21</v>
      </c>
      <c r="AE294" s="37">
        <f t="shared" si="132"/>
        <v>0</v>
      </c>
      <c r="AF294" s="37">
        <f t="shared" si="133"/>
        <v>0</v>
      </c>
      <c r="AG294" s="33" t="s">
        <v>13</v>
      </c>
      <c r="AM294" s="37">
        <f t="shared" si="127"/>
        <v>0</v>
      </c>
      <c r="AN294" s="37">
        <f t="shared" si="128"/>
        <v>0</v>
      </c>
      <c r="AO294" s="38" t="s">
        <v>1211</v>
      </c>
      <c r="AP294" s="38" t="s">
        <v>1230</v>
      </c>
      <c r="AQ294" s="28" t="s">
        <v>1234</v>
      </c>
      <c r="AS294" s="37">
        <f t="shared" si="129"/>
        <v>0</v>
      </c>
      <c r="AT294" s="37">
        <f t="shared" si="130"/>
        <v>0</v>
      </c>
      <c r="AU294" s="37">
        <v>0</v>
      </c>
      <c r="AV294" s="37">
        <f t="shared" si="131"/>
        <v>0</v>
      </c>
    </row>
    <row r="295" spans="1:48" ht="12.75">
      <c r="A295" s="5" t="s">
        <v>240</v>
      </c>
      <c r="B295" s="5"/>
      <c r="C295" s="5" t="s">
        <v>613</v>
      </c>
      <c r="D295" s="5" t="s">
        <v>1007</v>
      </c>
      <c r="E295" s="5" t="s">
        <v>1153</v>
      </c>
      <c r="F295" s="19">
        <v>24</v>
      </c>
      <c r="G295" s="19">
        <v>0</v>
      </c>
      <c r="H295" s="19">
        <f t="shared" si="112"/>
        <v>0</v>
      </c>
      <c r="I295" s="19">
        <f t="shared" si="113"/>
        <v>0</v>
      </c>
      <c r="J295" s="19">
        <f t="shared" si="114"/>
        <v>0</v>
      </c>
      <c r="K295" s="19">
        <v>0</v>
      </c>
      <c r="L295" s="19">
        <f t="shared" si="115"/>
        <v>0</v>
      </c>
      <c r="M295" s="33" t="s">
        <v>1177</v>
      </c>
      <c r="P295" s="37">
        <f t="shared" si="116"/>
        <v>0</v>
      </c>
      <c r="R295" s="37">
        <f t="shared" si="117"/>
        <v>0</v>
      </c>
      <c r="S295" s="37">
        <f t="shared" si="118"/>
        <v>0</v>
      </c>
      <c r="T295" s="37">
        <f t="shared" si="119"/>
        <v>0</v>
      </c>
      <c r="U295" s="37">
        <f t="shared" si="120"/>
        <v>0</v>
      </c>
      <c r="V295" s="37">
        <f t="shared" si="121"/>
        <v>0</v>
      </c>
      <c r="W295" s="37">
        <f t="shared" si="122"/>
        <v>0</v>
      </c>
      <c r="X295" s="37">
        <f t="shared" si="123"/>
        <v>0</v>
      </c>
      <c r="Y295" s="28"/>
      <c r="Z295" s="19">
        <f t="shared" si="124"/>
        <v>0</v>
      </c>
      <c r="AA295" s="19">
        <f t="shared" si="125"/>
        <v>0</v>
      </c>
      <c r="AB295" s="19">
        <f t="shared" si="126"/>
        <v>0</v>
      </c>
      <c r="AD295" s="37">
        <v>21</v>
      </c>
      <c r="AE295" s="37">
        <f t="shared" si="132"/>
        <v>0</v>
      </c>
      <c r="AF295" s="37">
        <f t="shared" si="133"/>
        <v>0</v>
      </c>
      <c r="AG295" s="33" t="s">
        <v>13</v>
      </c>
      <c r="AM295" s="37">
        <f t="shared" si="127"/>
        <v>0</v>
      </c>
      <c r="AN295" s="37">
        <f t="shared" si="128"/>
        <v>0</v>
      </c>
      <c r="AO295" s="38" t="s">
        <v>1211</v>
      </c>
      <c r="AP295" s="38" t="s">
        <v>1230</v>
      </c>
      <c r="AQ295" s="28" t="s">
        <v>1234</v>
      </c>
      <c r="AS295" s="37">
        <f t="shared" si="129"/>
        <v>0</v>
      </c>
      <c r="AT295" s="37">
        <f t="shared" si="130"/>
        <v>0</v>
      </c>
      <c r="AU295" s="37">
        <v>0</v>
      </c>
      <c r="AV295" s="37">
        <f t="shared" si="131"/>
        <v>0</v>
      </c>
    </row>
    <row r="296" spans="1:48" ht="12.75">
      <c r="A296" s="5" t="s">
        <v>241</v>
      </c>
      <c r="B296" s="5"/>
      <c r="C296" s="5" t="s">
        <v>614</v>
      </c>
      <c r="D296" s="5" t="s">
        <v>1008</v>
      </c>
      <c r="E296" s="5" t="s">
        <v>1153</v>
      </c>
      <c r="F296" s="19">
        <v>3</v>
      </c>
      <c r="G296" s="19">
        <v>0</v>
      </c>
      <c r="H296" s="19">
        <f t="shared" si="112"/>
        <v>0</v>
      </c>
      <c r="I296" s="19">
        <f t="shared" si="113"/>
        <v>0</v>
      </c>
      <c r="J296" s="19">
        <f t="shared" si="114"/>
        <v>0</v>
      </c>
      <c r="K296" s="19">
        <v>0</v>
      </c>
      <c r="L296" s="19">
        <f t="shared" si="115"/>
        <v>0</v>
      </c>
      <c r="M296" s="33" t="s">
        <v>1177</v>
      </c>
      <c r="P296" s="37">
        <f t="shared" si="116"/>
        <v>0</v>
      </c>
      <c r="R296" s="37">
        <f t="shared" si="117"/>
        <v>0</v>
      </c>
      <c r="S296" s="37">
        <f t="shared" si="118"/>
        <v>0</v>
      </c>
      <c r="T296" s="37">
        <f t="shared" si="119"/>
        <v>0</v>
      </c>
      <c r="U296" s="37">
        <f t="shared" si="120"/>
        <v>0</v>
      </c>
      <c r="V296" s="37">
        <f t="shared" si="121"/>
        <v>0</v>
      </c>
      <c r="W296" s="37">
        <f t="shared" si="122"/>
        <v>0</v>
      </c>
      <c r="X296" s="37">
        <f t="shared" si="123"/>
        <v>0</v>
      </c>
      <c r="Y296" s="28"/>
      <c r="Z296" s="19">
        <f t="shared" si="124"/>
        <v>0</v>
      </c>
      <c r="AA296" s="19">
        <f t="shared" si="125"/>
        <v>0</v>
      </c>
      <c r="AB296" s="19">
        <f t="shared" si="126"/>
        <v>0</v>
      </c>
      <c r="AD296" s="37">
        <v>21</v>
      </c>
      <c r="AE296" s="37">
        <f t="shared" si="132"/>
        <v>0</v>
      </c>
      <c r="AF296" s="37">
        <f t="shared" si="133"/>
        <v>0</v>
      </c>
      <c r="AG296" s="33" t="s">
        <v>13</v>
      </c>
      <c r="AM296" s="37">
        <f t="shared" si="127"/>
        <v>0</v>
      </c>
      <c r="AN296" s="37">
        <f t="shared" si="128"/>
        <v>0</v>
      </c>
      <c r="AO296" s="38" t="s">
        <v>1211</v>
      </c>
      <c r="AP296" s="38" t="s">
        <v>1230</v>
      </c>
      <c r="AQ296" s="28" t="s">
        <v>1234</v>
      </c>
      <c r="AS296" s="37">
        <f t="shared" si="129"/>
        <v>0</v>
      </c>
      <c r="AT296" s="37">
        <f t="shared" si="130"/>
        <v>0</v>
      </c>
      <c r="AU296" s="37">
        <v>0</v>
      </c>
      <c r="AV296" s="37">
        <f t="shared" si="131"/>
        <v>0</v>
      </c>
    </row>
    <row r="297" spans="1:48" ht="12.75">
      <c r="A297" s="5" t="s">
        <v>242</v>
      </c>
      <c r="B297" s="5"/>
      <c r="C297" s="5" t="s">
        <v>615</v>
      </c>
      <c r="D297" s="5" t="s">
        <v>1009</v>
      </c>
      <c r="E297" s="5" t="s">
        <v>1153</v>
      </c>
      <c r="F297" s="19">
        <v>2</v>
      </c>
      <c r="G297" s="19">
        <v>0</v>
      </c>
      <c r="H297" s="19">
        <f aca="true" t="shared" si="134" ref="H297:H312">F297*AE297</f>
        <v>0</v>
      </c>
      <c r="I297" s="19">
        <f aca="true" t="shared" si="135" ref="I297:I312">J297-H297</f>
        <v>0</v>
      </c>
      <c r="J297" s="19">
        <f aca="true" t="shared" si="136" ref="J297:J312">F297*G297</f>
        <v>0</v>
      </c>
      <c r="K297" s="19">
        <v>0</v>
      </c>
      <c r="L297" s="19">
        <f aca="true" t="shared" si="137" ref="L297:L312">F297*K297</f>
        <v>0</v>
      </c>
      <c r="M297" s="33" t="s">
        <v>1177</v>
      </c>
      <c r="P297" s="37">
        <f aca="true" t="shared" si="138" ref="P297:P312">IF(AG297="5",J297,0)</f>
        <v>0</v>
      </c>
      <c r="R297" s="37">
        <f aca="true" t="shared" si="139" ref="R297:R312">IF(AG297="1",H297,0)</f>
        <v>0</v>
      </c>
      <c r="S297" s="37">
        <f aca="true" t="shared" si="140" ref="S297:S312">IF(AG297="1",I297,0)</f>
        <v>0</v>
      </c>
      <c r="T297" s="37">
        <f aca="true" t="shared" si="141" ref="T297:T312">IF(AG297="7",H297,0)</f>
        <v>0</v>
      </c>
      <c r="U297" s="37">
        <f aca="true" t="shared" si="142" ref="U297:U312">IF(AG297="7",I297,0)</f>
        <v>0</v>
      </c>
      <c r="V297" s="37">
        <f aca="true" t="shared" si="143" ref="V297:V312">IF(AG297="2",H297,0)</f>
        <v>0</v>
      </c>
      <c r="W297" s="37">
        <f aca="true" t="shared" si="144" ref="W297:W312">IF(AG297="2",I297,0)</f>
        <v>0</v>
      </c>
      <c r="X297" s="37">
        <f aca="true" t="shared" si="145" ref="X297:X312">IF(AG297="0",J297,0)</f>
        <v>0</v>
      </c>
      <c r="Y297" s="28"/>
      <c r="Z297" s="19">
        <f aca="true" t="shared" si="146" ref="Z297:Z312">IF(AD297=0,J297,0)</f>
        <v>0</v>
      </c>
      <c r="AA297" s="19">
        <f aca="true" t="shared" si="147" ref="AA297:AA312">IF(AD297=15,J297,0)</f>
        <v>0</v>
      </c>
      <c r="AB297" s="19">
        <f aca="true" t="shared" si="148" ref="AB297:AB312">IF(AD297=21,J297,0)</f>
        <v>0</v>
      </c>
      <c r="AD297" s="37">
        <v>21</v>
      </c>
      <c r="AE297" s="37">
        <f t="shared" si="132"/>
        <v>0</v>
      </c>
      <c r="AF297" s="37">
        <f t="shared" si="133"/>
        <v>0</v>
      </c>
      <c r="AG297" s="33" t="s">
        <v>13</v>
      </c>
      <c r="AM297" s="37">
        <f aca="true" t="shared" si="149" ref="AM297:AM312">F297*AE297</f>
        <v>0</v>
      </c>
      <c r="AN297" s="37">
        <f aca="true" t="shared" si="150" ref="AN297:AN312">F297*AF297</f>
        <v>0</v>
      </c>
      <c r="AO297" s="38" t="s">
        <v>1211</v>
      </c>
      <c r="AP297" s="38" t="s">
        <v>1230</v>
      </c>
      <c r="AQ297" s="28" t="s">
        <v>1234</v>
      </c>
      <c r="AS297" s="37">
        <f aca="true" t="shared" si="151" ref="AS297:AS312">AM297+AN297</f>
        <v>0</v>
      </c>
      <c r="AT297" s="37">
        <f aca="true" t="shared" si="152" ref="AT297:AT312">G297/(100-AU297)*100</f>
        <v>0</v>
      </c>
      <c r="AU297" s="37">
        <v>0</v>
      </c>
      <c r="AV297" s="37">
        <f aca="true" t="shared" si="153" ref="AV297:AV312">L297</f>
        <v>0</v>
      </c>
    </row>
    <row r="298" spans="1:48" ht="12.75">
      <c r="A298" s="5" t="s">
        <v>243</v>
      </c>
      <c r="B298" s="5"/>
      <c r="C298" s="5" t="s">
        <v>616</v>
      </c>
      <c r="D298" s="5" t="s">
        <v>1010</v>
      </c>
      <c r="E298" s="5" t="s">
        <v>1160</v>
      </c>
      <c r="F298" s="19">
        <v>1</v>
      </c>
      <c r="G298" s="19">
        <v>0</v>
      </c>
      <c r="H298" s="19">
        <f t="shared" si="134"/>
        <v>0</v>
      </c>
      <c r="I298" s="19">
        <f t="shared" si="135"/>
        <v>0</v>
      </c>
      <c r="J298" s="19">
        <f t="shared" si="136"/>
        <v>0</v>
      </c>
      <c r="K298" s="19">
        <v>0</v>
      </c>
      <c r="L298" s="19">
        <f t="shared" si="137"/>
        <v>0</v>
      </c>
      <c r="M298" s="33" t="s">
        <v>1177</v>
      </c>
      <c r="P298" s="37">
        <f t="shared" si="138"/>
        <v>0</v>
      </c>
      <c r="R298" s="37">
        <f t="shared" si="139"/>
        <v>0</v>
      </c>
      <c r="S298" s="37">
        <f t="shared" si="140"/>
        <v>0</v>
      </c>
      <c r="T298" s="37">
        <f t="shared" si="141"/>
        <v>0</v>
      </c>
      <c r="U298" s="37">
        <f t="shared" si="142"/>
        <v>0</v>
      </c>
      <c r="V298" s="37">
        <f t="shared" si="143"/>
        <v>0</v>
      </c>
      <c r="W298" s="37">
        <f t="shared" si="144"/>
        <v>0</v>
      </c>
      <c r="X298" s="37">
        <f t="shared" si="145"/>
        <v>0</v>
      </c>
      <c r="Y298" s="28"/>
      <c r="Z298" s="19">
        <f t="shared" si="146"/>
        <v>0</v>
      </c>
      <c r="AA298" s="19">
        <f t="shared" si="147"/>
        <v>0</v>
      </c>
      <c r="AB298" s="19">
        <f t="shared" si="148"/>
        <v>0</v>
      </c>
      <c r="AD298" s="37">
        <v>21</v>
      </c>
      <c r="AE298" s="37">
        <f t="shared" si="132"/>
        <v>0</v>
      </c>
      <c r="AF298" s="37">
        <f t="shared" si="133"/>
        <v>0</v>
      </c>
      <c r="AG298" s="33" t="s">
        <v>13</v>
      </c>
      <c r="AM298" s="37">
        <f t="shared" si="149"/>
        <v>0</v>
      </c>
      <c r="AN298" s="37">
        <f t="shared" si="150"/>
        <v>0</v>
      </c>
      <c r="AO298" s="38" t="s">
        <v>1211</v>
      </c>
      <c r="AP298" s="38" t="s">
        <v>1230</v>
      </c>
      <c r="AQ298" s="28" t="s">
        <v>1234</v>
      </c>
      <c r="AS298" s="37">
        <f t="shared" si="151"/>
        <v>0</v>
      </c>
      <c r="AT298" s="37">
        <f t="shared" si="152"/>
        <v>0</v>
      </c>
      <c r="AU298" s="37">
        <v>0</v>
      </c>
      <c r="AV298" s="37">
        <f t="shared" si="153"/>
        <v>0</v>
      </c>
    </row>
    <row r="299" spans="1:48" ht="12.75">
      <c r="A299" s="5" t="s">
        <v>244</v>
      </c>
      <c r="B299" s="5"/>
      <c r="C299" s="5" t="s">
        <v>617</v>
      </c>
      <c r="D299" s="5" t="s">
        <v>1011</v>
      </c>
      <c r="E299" s="5" t="s">
        <v>1154</v>
      </c>
      <c r="F299" s="19">
        <v>6</v>
      </c>
      <c r="G299" s="19">
        <v>0</v>
      </c>
      <c r="H299" s="19">
        <f t="shared" si="134"/>
        <v>0</v>
      </c>
      <c r="I299" s="19">
        <f t="shared" si="135"/>
        <v>0</v>
      </c>
      <c r="J299" s="19">
        <f t="shared" si="136"/>
        <v>0</v>
      </c>
      <c r="K299" s="19">
        <v>0</v>
      </c>
      <c r="L299" s="19">
        <f t="shared" si="137"/>
        <v>0</v>
      </c>
      <c r="M299" s="33" t="s">
        <v>1177</v>
      </c>
      <c r="P299" s="37">
        <f t="shared" si="138"/>
        <v>0</v>
      </c>
      <c r="R299" s="37">
        <f t="shared" si="139"/>
        <v>0</v>
      </c>
      <c r="S299" s="37">
        <f t="shared" si="140"/>
        <v>0</v>
      </c>
      <c r="T299" s="37">
        <f t="shared" si="141"/>
        <v>0</v>
      </c>
      <c r="U299" s="37">
        <f t="shared" si="142"/>
        <v>0</v>
      </c>
      <c r="V299" s="37">
        <f t="shared" si="143"/>
        <v>0</v>
      </c>
      <c r="W299" s="37">
        <f t="shared" si="144"/>
        <v>0</v>
      </c>
      <c r="X299" s="37">
        <f t="shared" si="145"/>
        <v>0</v>
      </c>
      <c r="Y299" s="28"/>
      <c r="Z299" s="19">
        <f t="shared" si="146"/>
        <v>0</v>
      </c>
      <c r="AA299" s="19">
        <f t="shared" si="147"/>
        <v>0</v>
      </c>
      <c r="AB299" s="19">
        <f t="shared" si="148"/>
        <v>0</v>
      </c>
      <c r="AD299" s="37">
        <v>21</v>
      </c>
      <c r="AE299" s="37">
        <f t="shared" si="132"/>
        <v>0</v>
      </c>
      <c r="AF299" s="37">
        <f t="shared" si="133"/>
        <v>0</v>
      </c>
      <c r="AG299" s="33" t="s">
        <v>13</v>
      </c>
      <c r="AM299" s="37">
        <f t="shared" si="149"/>
        <v>0</v>
      </c>
      <c r="AN299" s="37">
        <f t="shared" si="150"/>
        <v>0</v>
      </c>
      <c r="AO299" s="38" t="s">
        <v>1211</v>
      </c>
      <c r="AP299" s="38" t="s">
        <v>1230</v>
      </c>
      <c r="AQ299" s="28" t="s">
        <v>1234</v>
      </c>
      <c r="AS299" s="37">
        <f t="shared" si="151"/>
        <v>0</v>
      </c>
      <c r="AT299" s="37">
        <f t="shared" si="152"/>
        <v>0</v>
      </c>
      <c r="AU299" s="37">
        <v>0</v>
      </c>
      <c r="AV299" s="37">
        <f t="shared" si="153"/>
        <v>0</v>
      </c>
    </row>
    <row r="300" spans="1:48" ht="12.75">
      <c r="A300" s="5" t="s">
        <v>245</v>
      </c>
      <c r="B300" s="5"/>
      <c r="C300" s="5" t="s">
        <v>618</v>
      </c>
      <c r="D300" s="5" t="s">
        <v>1011</v>
      </c>
      <c r="E300" s="5" t="s">
        <v>1154</v>
      </c>
      <c r="F300" s="19">
        <v>6</v>
      </c>
      <c r="G300" s="19">
        <v>0</v>
      </c>
      <c r="H300" s="19">
        <f t="shared" si="134"/>
        <v>0</v>
      </c>
      <c r="I300" s="19">
        <f t="shared" si="135"/>
        <v>0</v>
      </c>
      <c r="J300" s="19">
        <f t="shared" si="136"/>
        <v>0</v>
      </c>
      <c r="K300" s="19">
        <v>0</v>
      </c>
      <c r="L300" s="19">
        <f t="shared" si="137"/>
        <v>0</v>
      </c>
      <c r="M300" s="33" t="s">
        <v>1177</v>
      </c>
      <c r="P300" s="37">
        <f t="shared" si="138"/>
        <v>0</v>
      </c>
      <c r="R300" s="37">
        <f t="shared" si="139"/>
        <v>0</v>
      </c>
      <c r="S300" s="37">
        <f t="shared" si="140"/>
        <v>0</v>
      </c>
      <c r="T300" s="37">
        <f t="shared" si="141"/>
        <v>0</v>
      </c>
      <c r="U300" s="37">
        <f t="shared" si="142"/>
        <v>0</v>
      </c>
      <c r="V300" s="37">
        <f t="shared" si="143"/>
        <v>0</v>
      </c>
      <c r="W300" s="37">
        <f t="shared" si="144"/>
        <v>0</v>
      </c>
      <c r="X300" s="37">
        <f t="shared" si="145"/>
        <v>0</v>
      </c>
      <c r="Y300" s="28"/>
      <c r="Z300" s="19">
        <f t="shared" si="146"/>
        <v>0</v>
      </c>
      <c r="AA300" s="19">
        <f t="shared" si="147"/>
        <v>0</v>
      </c>
      <c r="AB300" s="19">
        <f t="shared" si="148"/>
        <v>0</v>
      </c>
      <c r="AD300" s="37">
        <v>21</v>
      </c>
      <c r="AE300" s="37">
        <f t="shared" si="132"/>
        <v>0</v>
      </c>
      <c r="AF300" s="37">
        <f t="shared" si="133"/>
        <v>0</v>
      </c>
      <c r="AG300" s="33" t="s">
        <v>13</v>
      </c>
      <c r="AM300" s="37">
        <f t="shared" si="149"/>
        <v>0</v>
      </c>
      <c r="AN300" s="37">
        <f t="shared" si="150"/>
        <v>0</v>
      </c>
      <c r="AO300" s="38" t="s">
        <v>1211</v>
      </c>
      <c r="AP300" s="38" t="s">
        <v>1230</v>
      </c>
      <c r="AQ300" s="28" t="s">
        <v>1234</v>
      </c>
      <c r="AS300" s="37">
        <f t="shared" si="151"/>
        <v>0</v>
      </c>
      <c r="AT300" s="37">
        <f t="shared" si="152"/>
        <v>0</v>
      </c>
      <c r="AU300" s="37">
        <v>0</v>
      </c>
      <c r="AV300" s="37">
        <f t="shared" si="153"/>
        <v>0</v>
      </c>
    </row>
    <row r="301" spans="1:48" ht="12.75">
      <c r="A301" s="5" t="s">
        <v>246</v>
      </c>
      <c r="B301" s="5"/>
      <c r="C301" s="5" t="s">
        <v>619</v>
      </c>
      <c r="D301" s="5" t="s">
        <v>1012</v>
      </c>
      <c r="E301" s="5" t="s">
        <v>1157</v>
      </c>
      <c r="F301" s="19">
        <v>4</v>
      </c>
      <c r="G301" s="19">
        <v>0</v>
      </c>
      <c r="H301" s="19">
        <f t="shared" si="134"/>
        <v>0</v>
      </c>
      <c r="I301" s="19">
        <f t="shared" si="135"/>
        <v>0</v>
      </c>
      <c r="J301" s="19">
        <f t="shared" si="136"/>
        <v>0</v>
      </c>
      <c r="K301" s="19">
        <v>0</v>
      </c>
      <c r="L301" s="19">
        <f t="shared" si="137"/>
        <v>0</v>
      </c>
      <c r="M301" s="33" t="s">
        <v>1177</v>
      </c>
      <c r="P301" s="37">
        <f t="shared" si="138"/>
        <v>0</v>
      </c>
      <c r="R301" s="37">
        <f t="shared" si="139"/>
        <v>0</v>
      </c>
      <c r="S301" s="37">
        <f t="shared" si="140"/>
        <v>0</v>
      </c>
      <c r="T301" s="37">
        <f t="shared" si="141"/>
        <v>0</v>
      </c>
      <c r="U301" s="37">
        <f t="shared" si="142"/>
        <v>0</v>
      </c>
      <c r="V301" s="37">
        <f t="shared" si="143"/>
        <v>0</v>
      </c>
      <c r="W301" s="37">
        <f t="shared" si="144"/>
        <v>0</v>
      </c>
      <c r="X301" s="37">
        <f t="shared" si="145"/>
        <v>0</v>
      </c>
      <c r="Y301" s="28"/>
      <c r="Z301" s="19">
        <f t="shared" si="146"/>
        <v>0</v>
      </c>
      <c r="AA301" s="19">
        <f t="shared" si="147"/>
        <v>0</v>
      </c>
      <c r="AB301" s="19">
        <f t="shared" si="148"/>
        <v>0</v>
      </c>
      <c r="AD301" s="37">
        <v>21</v>
      </c>
      <c r="AE301" s="37">
        <f t="shared" si="132"/>
        <v>0</v>
      </c>
      <c r="AF301" s="37">
        <f t="shared" si="133"/>
        <v>0</v>
      </c>
      <c r="AG301" s="33" t="s">
        <v>13</v>
      </c>
      <c r="AM301" s="37">
        <f t="shared" si="149"/>
        <v>0</v>
      </c>
      <c r="AN301" s="37">
        <f t="shared" si="150"/>
        <v>0</v>
      </c>
      <c r="AO301" s="38" t="s">
        <v>1211</v>
      </c>
      <c r="AP301" s="38" t="s">
        <v>1230</v>
      </c>
      <c r="AQ301" s="28" t="s">
        <v>1234</v>
      </c>
      <c r="AS301" s="37">
        <f t="shared" si="151"/>
        <v>0</v>
      </c>
      <c r="AT301" s="37">
        <f t="shared" si="152"/>
        <v>0</v>
      </c>
      <c r="AU301" s="37">
        <v>0</v>
      </c>
      <c r="AV301" s="37">
        <f t="shared" si="153"/>
        <v>0</v>
      </c>
    </row>
    <row r="302" spans="1:48" ht="12.75">
      <c r="A302" s="5" t="s">
        <v>247</v>
      </c>
      <c r="B302" s="5"/>
      <c r="C302" s="5" t="s">
        <v>620</v>
      </c>
      <c r="D302" s="5" t="s">
        <v>1012</v>
      </c>
      <c r="E302" s="5" t="s">
        <v>1157</v>
      </c>
      <c r="F302" s="19">
        <v>4</v>
      </c>
      <c r="G302" s="19">
        <v>0</v>
      </c>
      <c r="H302" s="19">
        <f t="shared" si="134"/>
        <v>0</v>
      </c>
      <c r="I302" s="19">
        <f t="shared" si="135"/>
        <v>0</v>
      </c>
      <c r="J302" s="19">
        <f t="shared" si="136"/>
        <v>0</v>
      </c>
      <c r="K302" s="19">
        <v>0</v>
      </c>
      <c r="L302" s="19">
        <f t="shared" si="137"/>
        <v>0</v>
      </c>
      <c r="M302" s="33" t="s">
        <v>1177</v>
      </c>
      <c r="P302" s="37">
        <f t="shared" si="138"/>
        <v>0</v>
      </c>
      <c r="R302" s="37">
        <f t="shared" si="139"/>
        <v>0</v>
      </c>
      <c r="S302" s="37">
        <f t="shared" si="140"/>
        <v>0</v>
      </c>
      <c r="T302" s="37">
        <f t="shared" si="141"/>
        <v>0</v>
      </c>
      <c r="U302" s="37">
        <f t="shared" si="142"/>
        <v>0</v>
      </c>
      <c r="V302" s="37">
        <f t="shared" si="143"/>
        <v>0</v>
      </c>
      <c r="W302" s="37">
        <f t="shared" si="144"/>
        <v>0</v>
      </c>
      <c r="X302" s="37">
        <f t="shared" si="145"/>
        <v>0</v>
      </c>
      <c r="Y302" s="28"/>
      <c r="Z302" s="19">
        <f t="shared" si="146"/>
        <v>0</v>
      </c>
      <c r="AA302" s="19">
        <f t="shared" si="147"/>
        <v>0</v>
      </c>
      <c r="AB302" s="19">
        <f t="shared" si="148"/>
        <v>0</v>
      </c>
      <c r="AD302" s="37">
        <v>21</v>
      </c>
      <c r="AE302" s="37">
        <f t="shared" si="132"/>
        <v>0</v>
      </c>
      <c r="AF302" s="37">
        <f t="shared" si="133"/>
        <v>0</v>
      </c>
      <c r="AG302" s="33" t="s">
        <v>13</v>
      </c>
      <c r="AM302" s="37">
        <f t="shared" si="149"/>
        <v>0</v>
      </c>
      <c r="AN302" s="37">
        <f t="shared" si="150"/>
        <v>0</v>
      </c>
      <c r="AO302" s="38" t="s">
        <v>1211</v>
      </c>
      <c r="AP302" s="38" t="s">
        <v>1230</v>
      </c>
      <c r="AQ302" s="28" t="s">
        <v>1234</v>
      </c>
      <c r="AS302" s="37">
        <f t="shared" si="151"/>
        <v>0</v>
      </c>
      <c r="AT302" s="37">
        <f t="shared" si="152"/>
        <v>0</v>
      </c>
      <c r="AU302" s="37">
        <v>0</v>
      </c>
      <c r="AV302" s="37">
        <f t="shared" si="153"/>
        <v>0</v>
      </c>
    </row>
    <row r="303" spans="1:48" ht="12.75">
      <c r="A303" s="5" t="s">
        <v>248</v>
      </c>
      <c r="B303" s="5"/>
      <c r="C303" s="5" t="s">
        <v>621</v>
      </c>
      <c r="D303" s="5" t="s">
        <v>1013</v>
      </c>
      <c r="E303" s="5" t="s">
        <v>1157</v>
      </c>
      <c r="F303" s="19">
        <v>2</v>
      </c>
      <c r="G303" s="19">
        <v>0</v>
      </c>
      <c r="H303" s="19">
        <f t="shared" si="134"/>
        <v>0</v>
      </c>
      <c r="I303" s="19">
        <f t="shared" si="135"/>
        <v>0</v>
      </c>
      <c r="J303" s="19">
        <f t="shared" si="136"/>
        <v>0</v>
      </c>
      <c r="K303" s="19">
        <v>0</v>
      </c>
      <c r="L303" s="19">
        <f t="shared" si="137"/>
        <v>0</v>
      </c>
      <c r="M303" s="33" t="s">
        <v>1177</v>
      </c>
      <c r="P303" s="37">
        <f t="shared" si="138"/>
        <v>0</v>
      </c>
      <c r="R303" s="37">
        <f t="shared" si="139"/>
        <v>0</v>
      </c>
      <c r="S303" s="37">
        <f t="shared" si="140"/>
        <v>0</v>
      </c>
      <c r="T303" s="37">
        <f t="shared" si="141"/>
        <v>0</v>
      </c>
      <c r="U303" s="37">
        <f t="shared" si="142"/>
        <v>0</v>
      </c>
      <c r="V303" s="37">
        <f t="shared" si="143"/>
        <v>0</v>
      </c>
      <c r="W303" s="37">
        <f t="shared" si="144"/>
        <v>0</v>
      </c>
      <c r="X303" s="37">
        <f t="shared" si="145"/>
        <v>0</v>
      </c>
      <c r="Y303" s="28"/>
      <c r="Z303" s="19">
        <f t="shared" si="146"/>
        <v>0</v>
      </c>
      <c r="AA303" s="19">
        <f t="shared" si="147"/>
        <v>0</v>
      </c>
      <c r="AB303" s="19">
        <f t="shared" si="148"/>
        <v>0</v>
      </c>
      <c r="AD303" s="37">
        <v>21</v>
      </c>
      <c r="AE303" s="37">
        <f t="shared" si="132"/>
        <v>0</v>
      </c>
      <c r="AF303" s="37">
        <f t="shared" si="133"/>
        <v>0</v>
      </c>
      <c r="AG303" s="33" t="s">
        <v>13</v>
      </c>
      <c r="AM303" s="37">
        <f t="shared" si="149"/>
        <v>0</v>
      </c>
      <c r="AN303" s="37">
        <f t="shared" si="150"/>
        <v>0</v>
      </c>
      <c r="AO303" s="38" t="s">
        <v>1211</v>
      </c>
      <c r="AP303" s="38" t="s">
        <v>1230</v>
      </c>
      <c r="AQ303" s="28" t="s">
        <v>1234</v>
      </c>
      <c r="AS303" s="37">
        <f t="shared" si="151"/>
        <v>0</v>
      </c>
      <c r="AT303" s="37">
        <f t="shared" si="152"/>
        <v>0</v>
      </c>
      <c r="AU303" s="37">
        <v>0</v>
      </c>
      <c r="AV303" s="37">
        <f t="shared" si="153"/>
        <v>0</v>
      </c>
    </row>
    <row r="304" spans="1:48" ht="12.75">
      <c r="A304" s="5" t="s">
        <v>249</v>
      </c>
      <c r="B304" s="5"/>
      <c r="C304" s="5" t="s">
        <v>622</v>
      </c>
      <c r="D304" s="5" t="s">
        <v>1013</v>
      </c>
      <c r="E304" s="5" t="s">
        <v>1157</v>
      </c>
      <c r="F304" s="19">
        <v>2</v>
      </c>
      <c r="G304" s="19">
        <v>0</v>
      </c>
      <c r="H304" s="19">
        <f t="shared" si="134"/>
        <v>0</v>
      </c>
      <c r="I304" s="19">
        <f t="shared" si="135"/>
        <v>0</v>
      </c>
      <c r="J304" s="19">
        <f t="shared" si="136"/>
        <v>0</v>
      </c>
      <c r="K304" s="19">
        <v>0</v>
      </c>
      <c r="L304" s="19">
        <f t="shared" si="137"/>
        <v>0</v>
      </c>
      <c r="M304" s="33" t="s">
        <v>1177</v>
      </c>
      <c r="P304" s="37">
        <f t="shared" si="138"/>
        <v>0</v>
      </c>
      <c r="R304" s="37">
        <f t="shared" si="139"/>
        <v>0</v>
      </c>
      <c r="S304" s="37">
        <f t="shared" si="140"/>
        <v>0</v>
      </c>
      <c r="T304" s="37">
        <f t="shared" si="141"/>
        <v>0</v>
      </c>
      <c r="U304" s="37">
        <f t="shared" si="142"/>
        <v>0</v>
      </c>
      <c r="V304" s="37">
        <f t="shared" si="143"/>
        <v>0</v>
      </c>
      <c r="W304" s="37">
        <f t="shared" si="144"/>
        <v>0</v>
      </c>
      <c r="X304" s="37">
        <f t="shared" si="145"/>
        <v>0</v>
      </c>
      <c r="Y304" s="28"/>
      <c r="Z304" s="19">
        <f t="shared" si="146"/>
        <v>0</v>
      </c>
      <c r="AA304" s="19">
        <f t="shared" si="147"/>
        <v>0</v>
      </c>
      <c r="AB304" s="19">
        <f t="shared" si="148"/>
        <v>0</v>
      </c>
      <c r="AD304" s="37">
        <v>21</v>
      </c>
      <c r="AE304" s="37">
        <f t="shared" si="132"/>
        <v>0</v>
      </c>
      <c r="AF304" s="37">
        <f t="shared" si="133"/>
        <v>0</v>
      </c>
      <c r="AG304" s="33" t="s">
        <v>13</v>
      </c>
      <c r="AM304" s="37">
        <f t="shared" si="149"/>
        <v>0</v>
      </c>
      <c r="AN304" s="37">
        <f t="shared" si="150"/>
        <v>0</v>
      </c>
      <c r="AO304" s="38" t="s">
        <v>1211</v>
      </c>
      <c r="AP304" s="38" t="s">
        <v>1230</v>
      </c>
      <c r="AQ304" s="28" t="s">
        <v>1234</v>
      </c>
      <c r="AS304" s="37">
        <f t="shared" si="151"/>
        <v>0</v>
      </c>
      <c r="AT304" s="37">
        <f t="shared" si="152"/>
        <v>0</v>
      </c>
      <c r="AU304" s="37">
        <v>0</v>
      </c>
      <c r="AV304" s="37">
        <f t="shared" si="153"/>
        <v>0</v>
      </c>
    </row>
    <row r="305" spans="1:48" ht="12.75">
      <c r="A305" s="5" t="s">
        <v>250</v>
      </c>
      <c r="B305" s="5"/>
      <c r="C305" s="5" t="s">
        <v>623</v>
      </c>
      <c r="D305" s="5" t="s">
        <v>1014</v>
      </c>
      <c r="E305" s="5" t="s">
        <v>1153</v>
      </c>
      <c r="F305" s="19">
        <v>1</v>
      </c>
      <c r="G305" s="19">
        <v>0</v>
      </c>
      <c r="H305" s="19">
        <f t="shared" si="134"/>
        <v>0</v>
      </c>
      <c r="I305" s="19">
        <f t="shared" si="135"/>
        <v>0</v>
      </c>
      <c r="J305" s="19">
        <f t="shared" si="136"/>
        <v>0</v>
      </c>
      <c r="K305" s="19">
        <v>0</v>
      </c>
      <c r="L305" s="19">
        <f t="shared" si="137"/>
        <v>0</v>
      </c>
      <c r="M305" s="33" t="s">
        <v>1177</v>
      </c>
      <c r="P305" s="37">
        <f t="shared" si="138"/>
        <v>0</v>
      </c>
      <c r="R305" s="37">
        <f t="shared" si="139"/>
        <v>0</v>
      </c>
      <c r="S305" s="37">
        <f t="shared" si="140"/>
        <v>0</v>
      </c>
      <c r="T305" s="37">
        <f t="shared" si="141"/>
        <v>0</v>
      </c>
      <c r="U305" s="37">
        <f t="shared" si="142"/>
        <v>0</v>
      </c>
      <c r="V305" s="37">
        <f t="shared" si="143"/>
        <v>0</v>
      </c>
      <c r="W305" s="37">
        <f t="shared" si="144"/>
        <v>0</v>
      </c>
      <c r="X305" s="37">
        <f t="shared" si="145"/>
        <v>0</v>
      </c>
      <c r="Y305" s="28"/>
      <c r="Z305" s="19">
        <f t="shared" si="146"/>
        <v>0</v>
      </c>
      <c r="AA305" s="19">
        <f t="shared" si="147"/>
        <v>0</v>
      </c>
      <c r="AB305" s="19">
        <f t="shared" si="148"/>
        <v>0</v>
      </c>
      <c r="AD305" s="37">
        <v>21</v>
      </c>
      <c r="AE305" s="37">
        <f t="shared" si="132"/>
        <v>0</v>
      </c>
      <c r="AF305" s="37">
        <f t="shared" si="133"/>
        <v>0</v>
      </c>
      <c r="AG305" s="33" t="s">
        <v>13</v>
      </c>
      <c r="AM305" s="37">
        <f t="shared" si="149"/>
        <v>0</v>
      </c>
      <c r="AN305" s="37">
        <f t="shared" si="150"/>
        <v>0</v>
      </c>
      <c r="AO305" s="38" t="s">
        <v>1211</v>
      </c>
      <c r="AP305" s="38" t="s">
        <v>1230</v>
      </c>
      <c r="AQ305" s="28" t="s">
        <v>1234</v>
      </c>
      <c r="AS305" s="37">
        <f t="shared" si="151"/>
        <v>0</v>
      </c>
      <c r="AT305" s="37">
        <f t="shared" si="152"/>
        <v>0</v>
      </c>
      <c r="AU305" s="37">
        <v>0</v>
      </c>
      <c r="AV305" s="37">
        <f t="shared" si="153"/>
        <v>0</v>
      </c>
    </row>
    <row r="306" spans="1:48" ht="12.75">
      <c r="A306" s="5" t="s">
        <v>251</v>
      </c>
      <c r="B306" s="5"/>
      <c r="C306" s="5" t="s">
        <v>624</v>
      </c>
      <c r="D306" s="5" t="s">
        <v>1015</v>
      </c>
      <c r="E306" s="5" t="s">
        <v>1160</v>
      </c>
      <c r="F306" s="19">
        <v>1</v>
      </c>
      <c r="G306" s="19">
        <v>0</v>
      </c>
      <c r="H306" s="19">
        <f t="shared" si="134"/>
        <v>0</v>
      </c>
      <c r="I306" s="19">
        <f t="shared" si="135"/>
        <v>0</v>
      </c>
      <c r="J306" s="19">
        <f t="shared" si="136"/>
        <v>0</v>
      </c>
      <c r="K306" s="19">
        <v>0</v>
      </c>
      <c r="L306" s="19">
        <f t="shared" si="137"/>
        <v>0</v>
      </c>
      <c r="M306" s="33" t="s">
        <v>1177</v>
      </c>
      <c r="P306" s="37">
        <f t="shared" si="138"/>
        <v>0</v>
      </c>
      <c r="R306" s="37">
        <f t="shared" si="139"/>
        <v>0</v>
      </c>
      <c r="S306" s="37">
        <f t="shared" si="140"/>
        <v>0</v>
      </c>
      <c r="T306" s="37">
        <f t="shared" si="141"/>
        <v>0</v>
      </c>
      <c r="U306" s="37">
        <f t="shared" si="142"/>
        <v>0</v>
      </c>
      <c r="V306" s="37">
        <f t="shared" si="143"/>
        <v>0</v>
      </c>
      <c r="W306" s="37">
        <f t="shared" si="144"/>
        <v>0</v>
      </c>
      <c r="X306" s="37">
        <f t="shared" si="145"/>
        <v>0</v>
      </c>
      <c r="Y306" s="28"/>
      <c r="Z306" s="19">
        <f t="shared" si="146"/>
        <v>0</v>
      </c>
      <c r="AA306" s="19">
        <f t="shared" si="147"/>
        <v>0</v>
      </c>
      <c r="AB306" s="19">
        <f t="shared" si="148"/>
        <v>0</v>
      </c>
      <c r="AD306" s="37">
        <v>21</v>
      </c>
      <c r="AE306" s="37">
        <f t="shared" si="132"/>
        <v>0</v>
      </c>
      <c r="AF306" s="37">
        <f t="shared" si="133"/>
        <v>0</v>
      </c>
      <c r="AG306" s="33" t="s">
        <v>13</v>
      </c>
      <c r="AM306" s="37">
        <f t="shared" si="149"/>
        <v>0</v>
      </c>
      <c r="AN306" s="37">
        <f t="shared" si="150"/>
        <v>0</v>
      </c>
      <c r="AO306" s="38" t="s">
        <v>1211</v>
      </c>
      <c r="AP306" s="38" t="s">
        <v>1230</v>
      </c>
      <c r="AQ306" s="28" t="s">
        <v>1234</v>
      </c>
      <c r="AS306" s="37">
        <f t="shared" si="151"/>
        <v>0</v>
      </c>
      <c r="AT306" s="37">
        <f t="shared" si="152"/>
        <v>0</v>
      </c>
      <c r="AU306" s="37">
        <v>0</v>
      </c>
      <c r="AV306" s="37">
        <f t="shared" si="153"/>
        <v>0</v>
      </c>
    </row>
    <row r="307" spans="1:48" ht="12.75">
      <c r="A307" s="5" t="s">
        <v>252</v>
      </c>
      <c r="B307" s="5"/>
      <c r="C307" s="5" t="s">
        <v>625</v>
      </c>
      <c r="D307" s="5" t="s">
        <v>1016</v>
      </c>
      <c r="E307" s="5" t="s">
        <v>1160</v>
      </c>
      <c r="F307" s="19">
        <v>1</v>
      </c>
      <c r="G307" s="19">
        <v>0</v>
      </c>
      <c r="H307" s="19">
        <f t="shared" si="134"/>
        <v>0</v>
      </c>
      <c r="I307" s="19">
        <f t="shared" si="135"/>
        <v>0</v>
      </c>
      <c r="J307" s="19">
        <f t="shared" si="136"/>
        <v>0</v>
      </c>
      <c r="K307" s="19">
        <v>0</v>
      </c>
      <c r="L307" s="19">
        <f t="shared" si="137"/>
        <v>0</v>
      </c>
      <c r="M307" s="33" t="s">
        <v>1177</v>
      </c>
      <c r="P307" s="37">
        <f t="shared" si="138"/>
        <v>0</v>
      </c>
      <c r="R307" s="37">
        <f t="shared" si="139"/>
        <v>0</v>
      </c>
      <c r="S307" s="37">
        <f t="shared" si="140"/>
        <v>0</v>
      </c>
      <c r="T307" s="37">
        <f t="shared" si="141"/>
        <v>0</v>
      </c>
      <c r="U307" s="37">
        <f t="shared" si="142"/>
        <v>0</v>
      </c>
      <c r="V307" s="37">
        <f t="shared" si="143"/>
        <v>0</v>
      </c>
      <c r="W307" s="37">
        <f t="shared" si="144"/>
        <v>0</v>
      </c>
      <c r="X307" s="37">
        <f t="shared" si="145"/>
        <v>0</v>
      </c>
      <c r="Y307" s="28"/>
      <c r="Z307" s="19">
        <f t="shared" si="146"/>
        <v>0</v>
      </c>
      <c r="AA307" s="19">
        <f t="shared" si="147"/>
        <v>0</v>
      </c>
      <c r="AB307" s="19">
        <f t="shared" si="148"/>
        <v>0</v>
      </c>
      <c r="AD307" s="37">
        <v>21</v>
      </c>
      <c r="AE307" s="37">
        <f t="shared" si="132"/>
        <v>0</v>
      </c>
      <c r="AF307" s="37">
        <f t="shared" si="133"/>
        <v>0</v>
      </c>
      <c r="AG307" s="33" t="s">
        <v>13</v>
      </c>
      <c r="AM307" s="37">
        <f t="shared" si="149"/>
        <v>0</v>
      </c>
      <c r="AN307" s="37">
        <f t="shared" si="150"/>
        <v>0</v>
      </c>
      <c r="AO307" s="38" t="s">
        <v>1211</v>
      </c>
      <c r="AP307" s="38" t="s">
        <v>1230</v>
      </c>
      <c r="AQ307" s="28" t="s">
        <v>1234</v>
      </c>
      <c r="AS307" s="37">
        <f t="shared" si="151"/>
        <v>0</v>
      </c>
      <c r="AT307" s="37">
        <f t="shared" si="152"/>
        <v>0</v>
      </c>
      <c r="AU307" s="37">
        <v>0</v>
      </c>
      <c r="AV307" s="37">
        <f t="shared" si="153"/>
        <v>0</v>
      </c>
    </row>
    <row r="308" spans="1:48" ht="12.75">
      <c r="A308" s="5" t="s">
        <v>253</v>
      </c>
      <c r="B308" s="5"/>
      <c r="C308" s="5" t="s">
        <v>626</v>
      </c>
      <c r="D308" s="5" t="s">
        <v>1017</v>
      </c>
      <c r="E308" s="5" t="s">
        <v>1160</v>
      </c>
      <c r="F308" s="19">
        <v>1</v>
      </c>
      <c r="G308" s="19">
        <v>0</v>
      </c>
      <c r="H308" s="19">
        <f t="shared" si="134"/>
        <v>0</v>
      </c>
      <c r="I308" s="19">
        <f t="shared" si="135"/>
        <v>0</v>
      </c>
      <c r="J308" s="19">
        <f t="shared" si="136"/>
        <v>0</v>
      </c>
      <c r="K308" s="19">
        <v>0</v>
      </c>
      <c r="L308" s="19">
        <f t="shared" si="137"/>
        <v>0</v>
      </c>
      <c r="M308" s="33" t="s">
        <v>1177</v>
      </c>
      <c r="P308" s="37">
        <f t="shared" si="138"/>
        <v>0</v>
      </c>
      <c r="R308" s="37">
        <f t="shared" si="139"/>
        <v>0</v>
      </c>
      <c r="S308" s="37">
        <f t="shared" si="140"/>
        <v>0</v>
      </c>
      <c r="T308" s="37">
        <f t="shared" si="141"/>
        <v>0</v>
      </c>
      <c r="U308" s="37">
        <f t="shared" si="142"/>
        <v>0</v>
      </c>
      <c r="V308" s="37">
        <f t="shared" si="143"/>
        <v>0</v>
      </c>
      <c r="W308" s="37">
        <f t="shared" si="144"/>
        <v>0</v>
      </c>
      <c r="X308" s="37">
        <f t="shared" si="145"/>
        <v>0</v>
      </c>
      <c r="Y308" s="28"/>
      <c r="Z308" s="19">
        <f t="shared" si="146"/>
        <v>0</v>
      </c>
      <c r="AA308" s="19">
        <f t="shared" si="147"/>
        <v>0</v>
      </c>
      <c r="AB308" s="19">
        <f t="shared" si="148"/>
        <v>0</v>
      </c>
      <c r="AD308" s="37">
        <v>21</v>
      </c>
      <c r="AE308" s="37">
        <f t="shared" si="132"/>
        <v>0</v>
      </c>
      <c r="AF308" s="37">
        <f t="shared" si="133"/>
        <v>0</v>
      </c>
      <c r="AG308" s="33" t="s">
        <v>13</v>
      </c>
      <c r="AM308" s="37">
        <f t="shared" si="149"/>
        <v>0</v>
      </c>
      <c r="AN308" s="37">
        <f t="shared" si="150"/>
        <v>0</v>
      </c>
      <c r="AO308" s="38" t="s">
        <v>1211</v>
      </c>
      <c r="AP308" s="38" t="s">
        <v>1230</v>
      </c>
      <c r="AQ308" s="28" t="s">
        <v>1234</v>
      </c>
      <c r="AS308" s="37">
        <f t="shared" si="151"/>
        <v>0</v>
      </c>
      <c r="AT308" s="37">
        <f t="shared" si="152"/>
        <v>0</v>
      </c>
      <c r="AU308" s="37">
        <v>0</v>
      </c>
      <c r="AV308" s="37">
        <f t="shared" si="153"/>
        <v>0</v>
      </c>
    </row>
    <row r="309" spans="1:48" ht="12.75">
      <c r="A309" s="5" t="s">
        <v>254</v>
      </c>
      <c r="B309" s="5"/>
      <c r="C309" s="5" t="s">
        <v>627</v>
      </c>
      <c r="D309" s="5" t="s">
        <v>1018</v>
      </c>
      <c r="E309" s="5" t="s">
        <v>1160</v>
      </c>
      <c r="F309" s="19">
        <v>1</v>
      </c>
      <c r="G309" s="19">
        <v>0</v>
      </c>
      <c r="H309" s="19">
        <f t="shared" si="134"/>
        <v>0</v>
      </c>
      <c r="I309" s="19">
        <f t="shared" si="135"/>
        <v>0</v>
      </c>
      <c r="J309" s="19">
        <f t="shared" si="136"/>
        <v>0</v>
      </c>
      <c r="K309" s="19">
        <v>0</v>
      </c>
      <c r="L309" s="19">
        <f t="shared" si="137"/>
        <v>0</v>
      </c>
      <c r="M309" s="33" t="s">
        <v>1177</v>
      </c>
      <c r="P309" s="37">
        <f t="shared" si="138"/>
        <v>0</v>
      </c>
      <c r="R309" s="37">
        <f t="shared" si="139"/>
        <v>0</v>
      </c>
      <c r="S309" s="37">
        <f t="shared" si="140"/>
        <v>0</v>
      </c>
      <c r="T309" s="37">
        <f t="shared" si="141"/>
        <v>0</v>
      </c>
      <c r="U309" s="37">
        <f t="shared" si="142"/>
        <v>0</v>
      </c>
      <c r="V309" s="37">
        <f t="shared" si="143"/>
        <v>0</v>
      </c>
      <c r="W309" s="37">
        <f t="shared" si="144"/>
        <v>0</v>
      </c>
      <c r="X309" s="37">
        <f t="shared" si="145"/>
        <v>0</v>
      </c>
      <c r="Y309" s="28"/>
      <c r="Z309" s="19">
        <f t="shared" si="146"/>
        <v>0</v>
      </c>
      <c r="AA309" s="19">
        <f t="shared" si="147"/>
        <v>0</v>
      </c>
      <c r="AB309" s="19">
        <f t="shared" si="148"/>
        <v>0</v>
      </c>
      <c r="AD309" s="37">
        <v>21</v>
      </c>
      <c r="AE309" s="37">
        <f t="shared" si="132"/>
        <v>0</v>
      </c>
      <c r="AF309" s="37">
        <f t="shared" si="133"/>
        <v>0</v>
      </c>
      <c r="AG309" s="33" t="s">
        <v>13</v>
      </c>
      <c r="AM309" s="37">
        <f t="shared" si="149"/>
        <v>0</v>
      </c>
      <c r="AN309" s="37">
        <f t="shared" si="150"/>
        <v>0</v>
      </c>
      <c r="AO309" s="38" t="s">
        <v>1211</v>
      </c>
      <c r="AP309" s="38" t="s">
        <v>1230</v>
      </c>
      <c r="AQ309" s="28" t="s">
        <v>1234</v>
      </c>
      <c r="AS309" s="37">
        <f t="shared" si="151"/>
        <v>0</v>
      </c>
      <c r="AT309" s="37">
        <f t="shared" si="152"/>
        <v>0</v>
      </c>
      <c r="AU309" s="37">
        <v>0</v>
      </c>
      <c r="AV309" s="37">
        <f t="shared" si="153"/>
        <v>0</v>
      </c>
    </row>
    <row r="310" spans="1:48" ht="12.75">
      <c r="A310" s="5" t="s">
        <v>255</v>
      </c>
      <c r="B310" s="5"/>
      <c r="C310" s="5" t="s">
        <v>628</v>
      </c>
      <c r="D310" s="5" t="s">
        <v>1019</v>
      </c>
      <c r="E310" s="5" t="s">
        <v>1155</v>
      </c>
      <c r="F310" s="19">
        <v>4</v>
      </c>
      <c r="G310" s="19">
        <v>0</v>
      </c>
      <c r="H310" s="19">
        <f t="shared" si="134"/>
        <v>0</v>
      </c>
      <c r="I310" s="19">
        <f t="shared" si="135"/>
        <v>0</v>
      </c>
      <c r="J310" s="19">
        <f t="shared" si="136"/>
        <v>0</v>
      </c>
      <c r="K310" s="19">
        <v>0</v>
      </c>
      <c r="L310" s="19">
        <f t="shared" si="137"/>
        <v>0</v>
      </c>
      <c r="M310" s="33" t="s">
        <v>1177</v>
      </c>
      <c r="P310" s="37">
        <f t="shared" si="138"/>
        <v>0</v>
      </c>
      <c r="R310" s="37">
        <f t="shared" si="139"/>
        <v>0</v>
      </c>
      <c r="S310" s="37">
        <f t="shared" si="140"/>
        <v>0</v>
      </c>
      <c r="T310" s="37">
        <f t="shared" si="141"/>
        <v>0</v>
      </c>
      <c r="U310" s="37">
        <f t="shared" si="142"/>
        <v>0</v>
      </c>
      <c r="V310" s="37">
        <f t="shared" si="143"/>
        <v>0</v>
      </c>
      <c r="W310" s="37">
        <f t="shared" si="144"/>
        <v>0</v>
      </c>
      <c r="X310" s="37">
        <f t="shared" si="145"/>
        <v>0</v>
      </c>
      <c r="Y310" s="28"/>
      <c r="Z310" s="19">
        <f t="shared" si="146"/>
        <v>0</v>
      </c>
      <c r="AA310" s="19">
        <f t="shared" si="147"/>
        <v>0</v>
      </c>
      <c r="AB310" s="19">
        <f t="shared" si="148"/>
        <v>0</v>
      </c>
      <c r="AD310" s="37">
        <v>21</v>
      </c>
      <c r="AE310" s="37">
        <f t="shared" si="132"/>
        <v>0</v>
      </c>
      <c r="AF310" s="37">
        <f t="shared" si="133"/>
        <v>0</v>
      </c>
      <c r="AG310" s="33" t="s">
        <v>13</v>
      </c>
      <c r="AM310" s="37">
        <f t="shared" si="149"/>
        <v>0</v>
      </c>
      <c r="AN310" s="37">
        <f t="shared" si="150"/>
        <v>0</v>
      </c>
      <c r="AO310" s="38" t="s">
        <v>1211</v>
      </c>
      <c r="AP310" s="38" t="s">
        <v>1230</v>
      </c>
      <c r="AQ310" s="28" t="s">
        <v>1234</v>
      </c>
      <c r="AS310" s="37">
        <f t="shared" si="151"/>
        <v>0</v>
      </c>
      <c r="AT310" s="37">
        <f t="shared" si="152"/>
        <v>0</v>
      </c>
      <c r="AU310" s="37">
        <v>0</v>
      </c>
      <c r="AV310" s="37">
        <f t="shared" si="153"/>
        <v>0</v>
      </c>
    </row>
    <row r="311" spans="1:48" ht="12.75">
      <c r="A311" s="5" t="s">
        <v>256</v>
      </c>
      <c r="B311" s="5"/>
      <c r="C311" s="5" t="s">
        <v>629</v>
      </c>
      <c r="D311" s="5" t="s">
        <v>1020</v>
      </c>
      <c r="E311" s="5" t="s">
        <v>1151</v>
      </c>
      <c r="F311" s="19">
        <v>8</v>
      </c>
      <c r="G311" s="19">
        <v>0</v>
      </c>
      <c r="H311" s="19">
        <f t="shared" si="134"/>
        <v>0</v>
      </c>
      <c r="I311" s="19">
        <f t="shared" si="135"/>
        <v>0</v>
      </c>
      <c r="J311" s="19">
        <f t="shared" si="136"/>
        <v>0</v>
      </c>
      <c r="K311" s="19">
        <v>0</v>
      </c>
      <c r="L311" s="19">
        <f t="shared" si="137"/>
        <v>0</v>
      </c>
      <c r="M311" s="33" t="s">
        <v>1177</v>
      </c>
      <c r="P311" s="37">
        <f t="shared" si="138"/>
        <v>0</v>
      </c>
      <c r="R311" s="37">
        <f t="shared" si="139"/>
        <v>0</v>
      </c>
      <c r="S311" s="37">
        <f t="shared" si="140"/>
        <v>0</v>
      </c>
      <c r="T311" s="37">
        <f t="shared" si="141"/>
        <v>0</v>
      </c>
      <c r="U311" s="37">
        <f t="shared" si="142"/>
        <v>0</v>
      </c>
      <c r="V311" s="37">
        <f t="shared" si="143"/>
        <v>0</v>
      </c>
      <c r="W311" s="37">
        <f t="shared" si="144"/>
        <v>0</v>
      </c>
      <c r="X311" s="37">
        <f t="shared" si="145"/>
        <v>0</v>
      </c>
      <c r="Y311" s="28"/>
      <c r="Z311" s="19">
        <f t="shared" si="146"/>
        <v>0</v>
      </c>
      <c r="AA311" s="19">
        <f t="shared" si="147"/>
        <v>0</v>
      </c>
      <c r="AB311" s="19">
        <f t="shared" si="148"/>
        <v>0</v>
      </c>
      <c r="AD311" s="37">
        <v>21</v>
      </c>
      <c r="AE311" s="37">
        <f t="shared" si="132"/>
        <v>0</v>
      </c>
      <c r="AF311" s="37">
        <f t="shared" si="133"/>
        <v>0</v>
      </c>
      <c r="AG311" s="33" t="s">
        <v>13</v>
      </c>
      <c r="AM311" s="37">
        <f t="shared" si="149"/>
        <v>0</v>
      </c>
      <c r="AN311" s="37">
        <f t="shared" si="150"/>
        <v>0</v>
      </c>
      <c r="AO311" s="38" t="s">
        <v>1211</v>
      </c>
      <c r="AP311" s="38" t="s">
        <v>1230</v>
      </c>
      <c r="AQ311" s="28" t="s">
        <v>1234</v>
      </c>
      <c r="AS311" s="37">
        <f t="shared" si="151"/>
        <v>0</v>
      </c>
      <c r="AT311" s="37">
        <f t="shared" si="152"/>
        <v>0</v>
      </c>
      <c r="AU311" s="37">
        <v>0</v>
      </c>
      <c r="AV311" s="37">
        <f t="shared" si="153"/>
        <v>0</v>
      </c>
    </row>
    <row r="312" spans="1:48" ht="12.75">
      <c r="A312" s="5" t="s">
        <v>257</v>
      </c>
      <c r="B312" s="5"/>
      <c r="C312" s="5" t="s">
        <v>630</v>
      </c>
      <c r="D312" s="5" t="s">
        <v>1021</v>
      </c>
      <c r="E312" s="5" t="s">
        <v>1160</v>
      </c>
      <c r="F312" s="19">
        <v>1</v>
      </c>
      <c r="G312" s="19">
        <v>0</v>
      </c>
      <c r="H312" s="19">
        <f t="shared" si="134"/>
        <v>0</v>
      </c>
      <c r="I312" s="19">
        <f t="shared" si="135"/>
        <v>0</v>
      </c>
      <c r="J312" s="19">
        <f t="shared" si="136"/>
        <v>0</v>
      </c>
      <c r="K312" s="19">
        <v>0</v>
      </c>
      <c r="L312" s="19">
        <f t="shared" si="137"/>
        <v>0</v>
      </c>
      <c r="M312" s="33" t="s">
        <v>1177</v>
      </c>
      <c r="P312" s="37">
        <f t="shared" si="138"/>
        <v>0</v>
      </c>
      <c r="R312" s="37">
        <f t="shared" si="139"/>
        <v>0</v>
      </c>
      <c r="S312" s="37">
        <f t="shared" si="140"/>
        <v>0</v>
      </c>
      <c r="T312" s="37">
        <f t="shared" si="141"/>
        <v>0</v>
      </c>
      <c r="U312" s="37">
        <f t="shared" si="142"/>
        <v>0</v>
      </c>
      <c r="V312" s="37">
        <f t="shared" si="143"/>
        <v>0</v>
      </c>
      <c r="W312" s="37">
        <f t="shared" si="144"/>
        <v>0</v>
      </c>
      <c r="X312" s="37">
        <f t="shared" si="145"/>
        <v>0</v>
      </c>
      <c r="Y312" s="28"/>
      <c r="Z312" s="19">
        <f t="shared" si="146"/>
        <v>0</v>
      </c>
      <c r="AA312" s="19">
        <f t="shared" si="147"/>
        <v>0</v>
      </c>
      <c r="AB312" s="19">
        <f t="shared" si="148"/>
        <v>0</v>
      </c>
      <c r="AD312" s="37">
        <v>21</v>
      </c>
      <c r="AE312" s="37">
        <f t="shared" si="132"/>
        <v>0</v>
      </c>
      <c r="AF312" s="37">
        <f t="shared" si="133"/>
        <v>0</v>
      </c>
      <c r="AG312" s="33" t="s">
        <v>13</v>
      </c>
      <c r="AM312" s="37">
        <f t="shared" si="149"/>
        <v>0</v>
      </c>
      <c r="AN312" s="37">
        <f t="shared" si="150"/>
        <v>0</v>
      </c>
      <c r="AO312" s="38" t="s">
        <v>1211</v>
      </c>
      <c r="AP312" s="38" t="s">
        <v>1230</v>
      </c>
      <c r="AQ312" s="28" t="s">
        <v>1234</v>
      </c>
      <c r="AS312" s="37">
        <f t="shared" si="151"/>
        <v>0</v>
      </c>
      <c r="AT312" s="37">
        <f t="shared" si="152"/>
        <v>0</v>
      </c>
      <c r="AU312" s="37">
        <v>0</v>
      </c>
      <c r="AV312" s="37">
        <f t="shared" si="153"/>
        <v>0</v>
      </c>
    </row>
    <row r="313" spans="1:37" ht="12.75">
      <c r="A313" s="6"/>
      <c r="B313" s="14"/>
      <c r="C313" s="14" t="s">
        <v>631</v>
      </c>
      <c r="D313" s="14" t="s">
        <v>1022</v>
      </c>
      <c r="E313" s="6" t="s">
        <v>6</v>
      </c>
      <c r="F313" s="6" t="s">
        <v>6</v>
      </c>
      <c r="G313" s="6" t="s">
        <v>6</v>
      </c>
      <c r="H313" s="40">
        <f>SUM(H314:H355)</f>
        <v>0</v>
      </c>
      <c r="I313" s="40">
        <f>SUM(I314:I355)</f>
        <v>0</v>
      </c>
      <c r="J313" s="40">
        <f>H313+I313</f>
        <v>0</v>
      </c>
      <c r="K313" s="28"/>
      <c r="L313" s="40">
        <f>SUM(L314:L355)</f>
        <v>0</v>
      </c>
      <c r="M313" s="28"/>
      <c r="Y313" s="28"/>
      <c r="AI313" s="40">
        <f>SUM(Z314:Z355)</f>
        <v>0</v>
      </c>
      <c r="AJ313" s="40">
        <f>SUM(AA314:AA355)</f>
        <v>0</v>
      </c>
      <c r="AK313" s="40">
        <f>SUM(AB314:AB355)</f>
        <v>0</v>
      </c>
    </row>
    <row r="314" spans="1:48" ht="12.75">
      <c r="A314" s="5" t="s">
        <v>258</v>
      </c>
      <c r="B314" s="5"/>
      <c r="C314" s="5" t="s">
        <v>632</v>
      </c>
      <c r="D314" s="5" t="s">
        <v>1023</v>
      </c>
      <c r="E314" s="5" t="s">
        <v>1153</v>
      </c>
      <c r="F314" s="19">
        <v>1</v>
      </c>
      <c r="G314" s="19">
        <v>0</v>
      </c>
      <c r="H314" s="19">
        <f aca="true" t="shared" si="154" ref="H314:H355">F314*AE314</f>
        <v>0</v>
      </c>
      <c r="I314" s="19">
        <f aca="true" t="shared" si="155" ref="I314:I355">J314-H314</f>
        <v>0</v>
      </c>
      <c r="J314" s="19">
        <f aca="true" t="shared" si="156" ref="J314:J355">F314*G314</f>
        <v>0</v>
      </c>
      <c r="K314" s="19">
        <v>0</v>
      </c>
      <c r="L314" s="19">
        <f aca="true" t="shared" si="157" ref="L314:L355">F314*K314</f>
        <v>0</v>
      </c>
      <c r="M314" s="33" t="s">
        <v>1177</v>
      </c>
      <c r="P314" s="37">
        <f aca="true" t="shared" si="158" ref="P314:P355">IF(AG314="5",J314,0)</f>
        <v>0</v>
      </c>
      <c r="R314" s="37">
        <f aca="true" t="shared" si="159" ref="R314:R355">IF(AG314="1",H314,0)</f>
        <v>0</v>
      </c>
      <c r="S314" s="37">
        <f aca="true" t="shared" si="160" ref="S314:S355">IF(AG314="1",I314,0)</f>
        <v>0</v>
      </c>
      <c r="T314" s="37">
        <f aca="true" t="shared" si="161" ref="T314:T355">IF(AG314="7",H314,0)</f>
        <v>0</v>
      </c>
      <c r="U314" s="37">
        <f aca="true" t="shared" si="162" ref="U314:U355">IF(AG314="7",I314,0)</f>
        <v>0</v>
      </c>
      <c r="V314" s="37">
        <f aca="true" t="shared" si="163" ref="V314:V355">IF(AG314="2",H314,0)</f>
        <v>0</v>
      </c>
      <c r="W314" s="37">
        <f aca="true" t="shared" si="164" ref="W314:W355">IF(AG314="2",I314,0)</f>
        <v>0</v>
      </c>
      <c r="X314" s="37">
        <f aca="true" t="shared" si="165" ref="X314:X355">IF(AG314="0",J314,0)</f>
        <v>0</v>
      </c>
      <c r="Y314" s="28"/>
      <c r="Z314" s="19">
        <f aca="true" t="shared" si="166" ref="Z314:Z355">IF(AD314=0,J314,0)</f>
        <v>0</v>
      </c>
      <c r="AA314" s="19">
        <f aca="true" t="shared" si="167" ref="AA314:AA355">IF(AD314=15,J314,0)</f>
        <v>0</v>
      </c>
      <c r="AB314" s="19">
        <f aca="true" t="shared" si="168" ref="AB314:AB355">IF(AD314=21,J314,0)</f>
        <v>0</v>
      </c>
      <c r="AD314" s="37">
        <v>21</v>
      </c>
      <c r="AE314" s="37">
        <f aca="true" t="shared" si="169" ref="AE314:AE355">G314*0</f>
        <v>0</v>
      </c>
      <c r="AF314" s="37">
        <f aca="true" t="shared" si="170" ref="AF314:AF355">G314*(1-0)</f>
        <v>0</v>
      </c>
      <c r="AG314" s="33" t="s">
        <v>13</v>
      </c>
      <c r="AM314" s="37">
        <f aca="true" t="shared" si="171" ref="AM314:AM355">F314*AE314</f>
        <v>0</v>
      </c>
      <c r="AN314" s="37">
        <f aca="true" t="shared" si="172" ref="AN314:AN355">F314*AF314</f>
        <v>0</v>
      </c>
      <c r="AO314" s="38" t="s">
        <v>1212</v>
      </c>
      <c r="AP314" s="38" t="s">
        <v>1230</v>
      </c>
      <c r="AQ314" s="28" t="s">
        <v>1234</v>
      </c>
      <c r="AS314" s="37">
        <f aca="true" t="shared" si="173" ref="AS314:AS355">AM314+AN314</f>
        <v>0</v>
      </c>
      <c r="AT314" s="37">
        <f aca="true" t="shared" si="174" ref="AT314:AT355">G314/(100-AU314)*100</f>
        <v>0</v>
      </c>
      <c r="AU314" s="37">
        <v>0</v>
      </c>
      <c r="AV314" s="37">
        <f aca="true" t="shared" si="175" ref="AV314:AV355">L314</f>
        <v>0</v>
      </c>
    </row>
    <row r="315" spans="1:48" ht="12.75">
      <c r="A315" s="5" t="s">
        <v>259</v>
      </c>
      <c r="B315" s="5"/>
      <c r="C315" s="5" t="s">
        <v>633</v>
      </c>
      <c r="D315" s="5" t="s">
        <v>1024</v>
      </c>
      <c r="E315" s="5" t="s">
        <v>1154</v>
      </c>
      <c r="F315" s="19">
        <v>3</v>
      </c>
      <c r="G315" s="19">
        <v>0</v>
      </c>
      <c r="H315" s="19">
        <f t="shared" si="154"/>
        <v>0</v>
      </c>
      <c r="I315" s="19">
        <f t="shared" si="155"/>
        <v>0</v>
      </c>
      <c r="J315" s="19">
        <f t="shared" si="156"/>
        <v>0</v>
      </c>
      <c r="K315" s="19">
        <v>0</v>
      </c>
      <c r="L315" s="19">
        <f t="shared" si="157"/>
        <v>0</v>
      </c>
      <c r="M315" s="33" t="s">
        <v>1177</v>
      </c>
      <c r="P315" s="37">
        <f t="shared" si="158"/>
        <v>0</v>
      </c>
      <c r="R315" s="37">
        <f t="shared" si="159"/>
        <v>0</v>
      </c>
      <c r="S315" s="37">
        <f t="shared" si="160"/>
        <v>0</v>
      </c>
      <c r="T315" s="37">
        <f t="shared" si="161"/>
        <v>0</v>
      </c>
      <c r="U315" s="37">
        <f t="shared" si="162"/>
        <v>0</v>
      </c>
      <c r="V315" s="37">
        <f t="shared" si="163"/>
        <v>0</v>
      </c>
      <c r="W315" s="37">
        <f t="shared" si="164"/>
        <v>0</v>
      </c>
      <c r="X315" s="37">
        <f t="shared" si="165"/>
        <v>0</v>
      </c>
      <c r="Y315" s="28"/>
      <c r="Z315" s="19">
        <f t="shared" si="166"/>
        <v>0</v>
      </c>
      <c r="AA315" s="19">
        <f t="shared" si="167"/>
        <v>0</v>
      </c>
      <c r="AB315" s="19">
        <f t="shared" si="168"/>
        <v>0</v>
      </c>
      <c r="AD315" s="37">
        <v>21</v>
      </c>
      <c r="AE315" s="37">
        <f t="shared" si="169"/>
        <v>0</v>
      </c>
      <c r="AF315" s="37">
        <f t="shared" si="170"/>
        <v>0</v>
      </c>
      <c r="AG315" s="33" t="s">
        <v>13</v>
      </c>
      <c r="AM315" s="37">
        <f t="shared" si="171"/>
        <v>0</v>
      </c>
      <c r="AN315" s="37">
        <f t="shared" si="172"/>
        <v>0</v>
      </c>
      <c r="AO315" s="38" t="s">
        <v>1212</v>
      </c>
      <c r="AP315" s="38" t="s">
        <v>1230</v>
      </c>
      <c r="AQ315" s="28" t="s">
        <v>1234</v>
      </c>
      <c r="AS315" s="37">
        <f t="shared" si="173"/>
        <v>0</v>
      </c>
      <c r="AT315" s="37">
        <f t="shared" si="174"/>
        <v>0</v>
      </c>
      <c r="AU315" s="37">
        <v>0</v>
      </c>
      <c r="AV315" s="37">
        <f t="shared" si="175"/>
        <v>0</v>
      </c>
    </row>
    <row r="316" spans="1:48" ht="12.75">
      <c r="A316" s="5" t="s">
        <v>260</v>
      </c>
      <c r="B316" s="5"/>
      <c r="C316" s="5" t="s">
        <v>556</v>
      </c>
      <c r="D316" s="5" t="s">
        <v>1025</v>
      </c>
      <c r="E316" s="5" t="s">
        <v>1153</v>
      </c>
      <c r="F316" s="19">
        <v>1</v>
      </c>
      <c r="G316" s="19">
        <v>0</v>
      </c>
      <c r="H316" s="19">
        <f t="shared" si="154"/>
        <v>0</v>
      </c>
      <c r="I316" s="19">
        <f t="shared" si="155"/>
        <v>0</v>
      </c>
      <c r="J316" s="19">
        <f t="shared" si="156"/>
        <v>0</v>
      </c>
      <c r="K316" s="19">
        <v>0</v>
      </c>
      <c r="L316" s="19">
        <f t="shared" si="157"/>
        <v>0</v>
      </c>
      <c r="M316" s="33" t="s">
        <v>1177</v>
      </c>
      <c r="P316" s="37">
        <f t="shared" si="158"/>
        <v>0</v>
      </c>
      <c r="R316" s="37">
        <f t="shared" si="159"/>
        <v>0</v>
      </c>
      <c r="S316" s="37">
        <f t="shared" si="160"/>
        <v>0</v>
      </c>
      <c r="T316" s="37">
        <f t="shared" si="161"/>
        <v>0</v>
      </c>
      <c r="U316" s="37">
        <f t="shared" si="162"/>
        <v>0</v>
      </c>
      <c r="V316" s="37">
        <f t="shared" si="163"/>
        <v>0</v>
      </c>
      <c r="W316" s="37">
        <f t="shared" si="164"/>
        <v>0</v>
      </c>
      <c r="X316" s="37">
        <f t="shared" si="165"/>
        <v>0</v>
      </c>
      <c r="Y316" s="28"/>
      <c r="Z316" s="19">
        <f t="shared" si="166"/>
        <v>0</v>
      </c>
      <c r="AA316" s="19">
        <f t="shared" si="167"/>
        <v>0</v>
      </c>
      <c r="AB316" s="19">
        <f t="shared" si="168"/>
        <v>0</v>
      </c>
      <c r="AD316" s="37">
        <v>21</v>
      </c>
      <c r="AE316" s="37">
        <f t="shared" si="169"/>
        <v>0</v>
      </c>
      <c r="AF316" s="37">
        <f t="shared" si="170"/>
        <v>0</v>
      </c>
      <c r="AG316" s="33" t="s">
        <v>13</v>
      </c>
      <c r="AM316" s="37">
        <f t="shared" si="171"/>
        <v>0</v>
      </c>
      <c r="AN316" s="37">
        <f t="shared" si="172"/>
        <v>0</v>
      </c>
      <c r="AO316" s="38" t="s">
        <v>1212</v>
      </c>
      <c r="AP316" s="38" t="s">
        <v>1230</v>
      </c>
      <c r="AQ316" s="28" t="s">
        <v>1234</v>
      </c>
      <c r="AS316" s="37">
        <f t="shared" si="173"/>
        <v>0</v>
      </c>
      <c r="AT316" s="37">
        <f t="shared" si="174"/>
        <v>0</v>
      </c>
      <c r="AU316" s="37">
        <v>0</v>
      </c>
      <c r="AV316" s="37">
        <f t="shared" si="175"/>
        <v>0</v>
      </c>
    </row>
    <row r="317" spans="1:48" ht="12.75">
      <c r="A317" s="5" t="s">
        <v>261</v>
      </c>
      <c r="B317" s="5"/>
      <c r="C317" s="5" t="s">
        <v>576</v>
      </c>
      <c r="D317" s="5" t="s">
        <v>971</v>
      </c>
      <c r="E317" s="5" t="s">
        <v>1154</v>
      </c>
      <c r="F317" s="19">
        <v>2</v>
      </c>
      <c r="G317" s="19">
        <v>0</v>
      </c>
      <c r="H317" s="19">
        <f t="shared" si="154"/>
        <v>0</v>
      </c>
      <c r="I317" s="19">
        <f t="shared" si="155"/>
        <v>0</v>
      </c>
      <c r="J317" s="19">
        <f t="shared" si="156"/>
        <v>0</v>
      </c>
      <c r="K317" s="19">
        <v>0</v>
      </c>
      <c r="L317" s="19">
        <f t="shared" si="157"/>
        <v>0</v>
      </c>
      <c r="M317" s="33" t="s">
        <v>1177</v>
      </c>
      <c r="P317" s="37">
        <f t="shared" si="158"/>
        <v>0</v>
      </c>
      <c r="R317" s="37">
        <f t="shared" si="159"/>
        <v>0</v>
      </c>
      <c r="S317" s="37">
        <f t="shared" si="160"/>
        <v>0</v>
      </c>
      <c r="T317" s="37">
        <f t="shared" si="161"/>
        <v>0</v>
      </c>
      <c r="U317" s="37">
        <f t="shared" si="162"/>
        <v>0</v>
      </c>
      <c r="V317" s="37">
        <f t="shared" si="163"/>
        <v>0</v>
      </c>
      <c r="W317" s="37">
        <f t="shared" si="164"/>
        <v>0</v>
      </c>
      <c r="X317" s="37">
        <f t="shared" si="165"/>
        <v>0</v>
      </c>
      <c r="Y317" s="28"/>
      <c r="Z317" s="19">
        <f t="shared" si="166"/>
        <v>0</v>
      </c>
      <c r="AA317" s="19">
        <f t="shared" si="167"/>
        <v>0</v>
      </c>
      <c r="AB317" s="19">
        <f t="shared" si="168"/>
        <v>0</v>
      </c>
      <c r="AD317" s="37">
        <v>21</v>
      </c>
      <c r="AE317" s="37">
        <f t="shared" si="169"/>
        <v>0</v>
      </c>
      <c r="AF317" s="37">
        <f t="shared" si="170"/>
        <v>0</v>
      </c>
      <c r="AG317" s="33" t="s">
        <v>13</v>
      </c>
      <c r="AM317" s="37">
        <f t="shared" si="171"/>
        <v>0</v>
      </c>
      <c r="AN317" s="37">
        <f t="shared" si="172"/>
        <v>0</v>
      </c>
      <c r="AO317" s="38" t="s">
        <v>1212</v>
      </c>
      <c r="AP317" s="38" t="s">
        <v>1230</v>
      </c>
      <c r="AQ317" s="28" t="s">
        <v>1234</v>
      </c>
      <c r="AS317" s="37">
        <f t="shared" si="173"/>
        <v>0</v>
      </c>
      <c r="AT317" s="37">
        <f t="shared" si="174"/>
        <v>0</v>
      </c>
      <c r="AU317" s="37">
        <v>0</v>
      </c>
      <c r="AV317" s="37">
        <f t="shared" si="175"/>
        <v>0</v>
      </c>
    </row>
    <row r="318" spans="1:48" ht="12.75">
      <c r="A318" s="5" t="s">
        <v>262</v>
      </c>
      <c r="B318" s="5"/>
      <c r="C318" s="5" t="s">
        <v>577</v>
      </c>
      <c r="D318" s="5" t="s">
        <v>972</v>
      </c>
      <c r="E318" s="5" t="s">
        <v>1154</v>
      </c>
      <c r="F318" s="19">
        <v>2</v>
      </c>
      <c r="G318" s="19">
        <v>0</v>
      </c>
      <c r="H318" s="19">
        <f t="shared" si="154"/>
        <v>0</v>
      </c>
      <c r="I318" s="19">
        <f t="shared" si="155"/>
        <v>0</v>
      </c>
      <c r="J318" s="19">
        <f t="shared" si="156"/>
        <v>0</v>
      </c>
      <c r="K318" s="19">
        <v>0</v>
      </c>
      <c r="L318" s="19">
        <f t="shared" si="157"/>
        <v>0</v>
      </c>
      <c r="M318" s="33" t="s">
        <v>1177</v>
      </c>
      <c r="P318" s="37">
        <f t="shared" si="158"/>
        <v>0</v>
      </c>
      <c r="R318" s="37">
        <f t="shared" si="159"/>
        <v>0</v>
      </c>
      <c r="S318" s="37">
        <f t="shared" si="160"/>
        <v>0</v>
      </c>
      <c r="T318" s="37">
        <f t="shared" si="161"/>
        <v>0</v>
      </c>
      <c r="U318" s="37">
        <f t="shared" si="162"/>
        <v>0</v>
      </c>
      <c r="V318" s="37">
        <f t="shared" si="163"/>
        <v>0</v>
      </c>
      <c r="W318" s="37">
        <f t="shared" si="164"/>
        <v>0</v>
      </c>
      <c r="X318" s="37">
        <f t="shared" si="165"/>
        <v>0</v>
      </c>
      <c r="Y318" s="28"/>
      <c r="Z318" s="19">
        <f t="shared" si="166"/>
        <v>0</v>
      </c>
      <c r="AA318" s="19">
        <f t="shared" si="167"/>
        <v>0</v>
      </c>
      <c r="AB318" s="19">
        <f t="shared" si="168"/>
        <v>0</v>
      </c>
      <c r="AD318" s="37">
        <v>21</v>
      </c>
      <c r="AE318" s="37">
        <f t="shared" si="169"/>
        <v>0</v>
      </c>
      <c r="AF318" s="37">
        <f t="shared" si="170"/>
        <v>0</v>
      </c>
      <c r="AG318" s="33" t="s">
        <v>13</v>
      </c>
      <c r="AM318" s="37">
        <f t="shared" si="171"/>
        <v>0</v>
      </c>
      <c r="AN318" s="37">
        <f t="shared" si="172"/>
        <v>0</v>
      </c>
      <c r="AO318" s="38" t="s">
        <v>1212</v>
      </c>
      <c r="AP318" s="38" t="s">
        <v>1230</v>
      </c>
      <c r="AQ318" s="28" t="s">
        <v>1234</v>
      </c>
      <c r="AS318" s="37">
        <f t="shared" si="173"/>
        <v>0</v>
      </c>
      <c r="AT318" s="37">
        <f t="shared" si="174"/>
        <v>0</v>
      </c>
      <c r="AU318" s="37">
        <v>0</v>
      </c>
      <c r="AV318" s="37">
        <f t="shared" si="175"/>
        <v>0</v>
      </c>
    </row>
    <row r="319" spans="1:48" ht="12.75">
      <c r="A319" s="5" t="s">
        <v>263</v>
      </c>
      <c r="B319" s="5"/>
      <c r="C319" s="5" t="s">
        <v>578</v>
      </c>
      <c r="D319" s="5" t="s">
        <v>973</v>
      </c>
      <c r="E319" s="5" t="s">
        <v>1154</v>
      </c>
      <c r="F319" s="19">
        <v>5</v>
      </c>
      <c r="G319" s="19">
        <v>0</v>
      </c>
      <c r="H319" s="19">
        <f t="shared" si="154"/>
        <v>0</v>
      </c>
      <c r="I319" s="19">
        <f t="shared" si="155"/>
        <v>0</v>
      </c>
      <c r="J319" s="19">
        <f t="shared" si="156"/>
        <v>0</v>
      </c>
      <c r="K319" s="19">
        <v>0</v>
      </c>
      <c r="L319" s="19">
        <f t="shared" si="157"/>
        <v>0</v>
      </c>
      <c r="M319" s="33" t="s">
        <v>1177</v>
      </c>
      <c r="P319" s="37">
        <f t="shared" si="158"/>
        <v>0</v>
      </c>
      <c r="R319" s="37">
        <f t="shared" si="159"/>
        <v>0</v>
      </c>
      <c r="S319" s="37">
        <f t="shared" si="160"/>
        <v>0</v>
      </c>
      <c r="T319" s="37">
        <f t="shared" si="161"/>
        <v>0</v>
      </c>
      <c r="U319" s="37">
        <f t="shared" si="162"/>
        <v>0</v>
      </c>
      <c r="V319" s="37">
        <f t="shared" si="163"/>
        <v>0</v>
      </c>
      <c r="W319" s="37">
        <f t="shared" si="164"/>
        <v>0</v>
      </c>
      <c r="X319" s="37">
        <f t="shared" si="165"/>
        <v>0</v>
      </c>
      <c r="Y319" s="28"/>
      <c r="Z319" s="19">
        <f t="shared" si="166"/>
        <v>0</v>
      </c>
      <c r="AA319" s="19">
        <f t="shared" si="167"/>
        <v>0</v>
      </c>
      <c r="AB319" s="19">
        <f t="shared" si="168"/>
        <v>0</v>
      </c>
      <c r="AD319" s="37">
        <v>21</v>
      </c>
      <c r="AE319" s="37">
        <f t="shared" si="169"/>
        <v>0</v>
      </c>
      <c r="AF319" s="37">
        <f t="shared" si="170"/>
        <v>0</v>
      </c>
      <c r="AG319" s="33" t="s">
        <v>13</v>
      </c>
      <c r="AM319" s="37">
        <f t="shared" si="171"/>
        <v>0</v>
      </c>
      <c r="AN319" s="37">
        <f t="shared" si="172"/>
        <v>0</v>
      </c>
      <c r="AO319" s="38" t="s">
        <v>1212</v>
      </c>
      <c r="AP319" s="38" t="s">
        <v>1230</v>
      </c>
      <c r="AQ319" s="28" t="s">
        <v>1234</v>
      </c>
      <c r="AS319" s="37">
        <f t="shared" si="173"/>
        <v>0</v>
      </c>
      <c r="AT319" s="37">
        <f t="shared" si="174"/>
        <v>0</v>
      </c>
      <c r="AU319" s="37">
        <v>0</v>
      </c>
      <c r="AV319" s="37">
        <f t="shared" si="175"/>
        <v>0</v>
      </c>
    </row>
    <row r="320" spans="1:48" ht="12.75">
      <c r="A320" s="5" t="s">
        <v>264</v>
      </c>
      <c r="B320" s="5"/>
      <c r="C320" s="5" t="s">
        <v>579</v>
      </c>
      <c r="D320" s="5" t="s">
        <v>973</v>
      </c>
      <c r="E320" s="5" t="s">
        <v>1154</v>
      </c>
      <c r="F320" s="19">
        <v>5</v>
      </c>
      <c r="G320" s="19">
        <v>0</v>
      </c>
      <c r="H320" s="19">
        <f t="shared" si="154"/>
        <v>0</v>
      </c>
      <c r="I320" s="19">
        <f t="shared" si="155"/>
        <v>0</v>
      </c>
      <c r="J320" s="19">
        <f t="shared" si="156"/>
        <v>0</v>
      </c>
      <c r="K320" s="19">
        <v>0</v>
      </c>
      <c r="L320" s="19">
        <f t="shared" si="157"/>
        <v>0</v>
      </c>
      <c r="M320" s="33" t="s">
        <v>1177</v>
      </c>
      <c r="P320" s="37">
        <f t="shared" si="158"/>
        <v>0</v>
      </c>
      <c r="R320" s="37">
        <f t="shared" si="159"/>
        <v>0</v>
      </c>
      <c r="S320" s="37">
        <f t="shared" si="160"/>
        <v>0</v>
      </c>
      <c r="T320" s="37">
        <f t="shared" si="161"/>
        <v>0</v>
      </c>
      <c r="U320" s="37">
        <f t="shared" si="162"/>
        <v>0</v>
      </c>
      <c r="V320" s="37">
        <f t="shared" si="163"/>
        <v>0</v>
      </c>
      <c r="W320" s="37">
        <f t="shared" si="164"/>
        <v>0</v>
      </c>
      <c r="X320" s="37">
        <f t="shared" si="165"/>
        <v>0</v>
      </c>
      <c r="Y320" s="28"/>
      <c r="Z320" s="19">
        <f t="shared" si="166"/>
        <v>0</v>
      </c>
      <c r="AA320" s="19">
        <f t="shared" si="167"/>
        <v>0</v>
      </c>
      <c r="AB320" s="19">
        <f t="shared" si="168"/>
        <v>0</v>
      </c>
      <c r="AD320" s="37">
        <v>21</v>
      </c>
      <c r="AE320" s="37">
        <f t="shared" si="169"/>
        <v>0</v>
      </c>
      <c r="AF320" s="37">
        <f t="shared" si="170"/>
        <v>0</v>
      </c>
      <c r="AG320" s="33" t="s">
        <v>13</v>
      </c>
      <c r="AM320" s="37">
        <f t="shared" si="171"/>
        <v>0</v>
      </c>
      <c r="AN320" s="37">
        <f t="shared" si="172"/>
        <v>0</v>
      </c>
      <c r="AO320" s="38" t="s">
        <v>1212</v>
      </c>
      <c r="AP320" s="38" t="s">
        <v>1230</v>
      </c>
      <c r="AQ320" s="28" t="s">
        <v>1234</v>
      </c>
      <c r="AS320" s="37">
        <f t="shared" si="173"/>
        <v>0</v>
      </c>
      <c r="AT320" s="37">
        <f t="shared" si="174"/>
        <v>0</v>
      </c>
      <c r="AU320" s="37">
        <v>0</v>
      </c>
      <c r="AV320" s="37">
        <f t="shared" si="175"/>
        <v>0</v>
      </c>
    </row>
    <row r="321" spans="1:48" ht="12.75">
      <c r="A321" s="5" t="s">
        <v>265</v>
      </c>
      <c r="B321" s="5"/>
      <c r="C321" s="5" t="s">
        <v>598</v>
      </c>
      <c r="D321" s="5" t="s">
        <v>992</v>
      </c>
      <c r="E321" s="5" t="s">
        <v>1153</v>
      </c>
      <c r="F321" s="19">
        <v>1</v>
      </c>
      <c r="G321" s="19">
        <v>0</v>
      </c>
      <c r="H321" s="19">
        <f t="shared" si="154"/>
        <v>0</v>
      </c>
      <c r="I321" s="19">
        <f t="shared" si="155"/>
        <v>0</v>
      </c>
      <c r="J321" s="19">
        <f t="shared" si="156"/>
        <v>0</v>
      </c>
      <c r="K321" s="19">
        <v>0</v>
      </c>
      <c r="L321" s="19">
        <f t="shared" si="157"/>
        <v>0</v>
      </c>
      <c r="M321" s="33" t="s">
        <v>1177</v>
      </c>
      <c r="P321" s="37">
        <f t="shared" si="158"/>
        <v>0</v>
      </c>
      <c r="R321" s="37">
        <f t="shared" si="159"/>
        <v>0</v>
      </c>
      <c r="S321" s="37">
        <f t="shared" si="160"/>
        <v>0</v>
      </c>
      <c r="T321" s="37">
        <f t="shared" si="161"/>
        <v>0</v>
      </c>
      <c r="U321" s="37">
        <f t="shared" si="162"/>
        <v>0</v>
      </c>
      <c r="V321" s="37">
        <f t="shared" si="163"/>
        <v>0</v>
      </c>
      <c r="W321" s="37">
        <f t="shared" si="164"/>
        <v>0</v>
      </c>
      <c r="X321" s="37">
        <f t="shared" si="165"/>
        <v>0</v>
      </c>
      <c r="Y321" s="28"/>
      <c r="Z321" s="19">
        <f t="shared" si="166"/>
        <v>0</v>
      </c>
      <c r="AA321" s="19">
        <f t="shared" si="167"/>
        <v>0</v>
      </c>
      <c r="AB321" s="19">
        <f t="shared" si="168"/>
        <v>0</v>
      </c>
      <c r="AD321" s="37">
        <v>21</v>
      </c>
      <c r="AE321" s="37">
        <f t="shared" si="169"/>
        <v>0</v>
      </c>
      <c r="AF321" s="37">
        <f t="shared" si="170"/>
        <v>0</v>
      </c>
      <c r="AG321" s="33" t="s">
        <v>13</v>
      </c>
      <c r="AM321" s="37">
        <f t="shared" si="171"/>
        <v>0</v>
      </c>
      <c r="AN321" s="37">
        <f t="shared" si="172"/>
        <v>0</v>
      </c>
      <c r="AO321" s="38" t="s">
        <v>1212</v>
      </c>
      <c r="AP321" s="38" t="s">
        <v>1230</v>
      </c>
      <c r="AQ321" s="28" t="s">
        <v>1234</v>
      </c>
      <c r="AS321" s="37">
        <f t="shared" si="173"/>
        <v>0</v>
      </c>
      <c r="AT321" s="37">
        <f t="shared" si="174"/>
        <v>0</v>
      </c>
      <c r="AU321" s="37">
        <v>0</v>
      </c>
      <c r="AV321" s="37">
        <f t="shared" si="175"/>
        <v>0</v>
      </c>
    </row>
    <row r="322" spans="1:48" ht="12.75">
      <c r="A322" s="5" t="s">
        <v>266</v>
      </c>
      <c r="B322" s="5"/>
      <c r="C322" s="5" t="s">
        <v>599</v>
      </c>
      <c r="D322" s="5" t="s">
        <v>1026</v>
      </c>
      <c r="E322" s="5" t="s">
        <v>1153</v>
      </c>
      <c r="F322" s="19">
        <v>1</v>
      </c>
      <c r="G322" s="19">
        <v>0</v>
      </c>
      <c r="H322" s="19">
        <f t="shared" si="154"/>
        <v>0</v>
      </c>
      <c r="I322" s="19">
        <f t="shared" si="155"/>
        <v>0</v>
      </c>
      <c r="J322" s="19">
        <f t="shared" si="156"/>
        <v>0</v>
      </c>
      <c r="K322" s="19">
        <v>0</v>
      </c>
      <c r="L322" s="19">
        <f t="shared" si="157"/>
        <v>0</v>
      </c>
      <c r="M322" s="33" t="s">
        <v>1177</v>
      </c>
      <c r="P322" s="37">
        <f t="shared" si="158"/>
        <v>0</v>
      </c>
      <c r="R322" s="37">
        <f t="shared" si="159"/>
        <v>0</v>
      </c>
      <c r="S322" s="37">
        <f t="shared" si="160"/>
        <v>0</v>
      </c>
      <c r="T322" s="37">
        <f t="shared" si="161"/>
        <v>0</v>
      </c>
      <c r="U322" s="37">
        <f t="shared" si="162"/>
        <v>0</v>
      </c>
      <c r="V322" s="37">
        <f t="shared" si="163"/>
        <v>0</v>
      </c>
      <c r="W322" s="37">
        <f t="shared" si="164"/>
        <v>0</v>
      </c>
      <c r="X322" s="37">
        <f t="shared" si="165"/>
        <v>0</v>
      </c>
      <c r="Y322" s="28"/>
      <c r="Z322" s="19">
        <f t="shared" si="166"/>
        <v>0</v>
      </c>
      <c r="AA322" s="19">
        <f t="shared" si="167"/>
        <v>0</v>
      </c>
      <c r="AB322" s="19">
        <f t="shared" si="168"/>
        <v>0</v>
      </c>
      <c r="AD322" s="37">
        <v>21</v>
      </c>
      <c r="AE322" s="37">
        <f t="shared" si="169"/>
        <v>0</v>
      </c>
      <c r="AF322" s="37">
        <f t="shared" si="170"/>
        <v>0</v>
      </c>
      <c r="AG322" s="33" t="s">
        <v>13</v>
      </c>
      <c r="AM322" s="37">
        <f t="shared" si="171"/>
        <v>0</v>
      </c>
      <c r="AN322" s="37">
        <f t="shared" si="172"/>
        <v>0</v>
      </c>
      <c r="AO322" s="38" t="s">
        <v>1212</v>
      </c>
      <c r="AP322" s="38" t="s">
        <v>1230</v>
      </c>
      <c r="AQ322" s="28" t="s">
        <v>1234</v>
      </c>
      <c r="AS322" s="37">
        <f t="shared" si="173"/>
        <v>0</v>
      </c>
      <c r="AT322" s="37">
        <f t="shared" si="174"/>
        <v>0</v>
      </c>
      <c r="AU322" s="37">
        <v>0</v>
      </c>
      <c r="AV322" s="37">
        <f t="shared" si="175"/>
        <v>0</v>
      </c>
    </row>
    <row r="323" spans="1:48" ht="12.75">
      <c r="A323" s="5" t="s">
        <v>267</v>
      </c>
      <c r="B323" s="5"/>
      <c r="C323" s="5" t="s">
        <v>634</v>
      </c>
      <c r="D323" s="5" t="s">
        <v>1027</v>
      </c>
      <c r="E323" s="5" t="s">
        <v>1154</v>
      </c>
      <c r="F323" s="19">
        <v>96</v>
      </c>
      <c r="G323" s="19">
        <v>0</v>
      </c>
      <c r="H323" s="19">
        <f t="shared" si="154"/>
        <v>0</v>
      </c>
      <c r="I323" s="19">
        <f t="shared" si="155"/>
        <v>0</v>
      </c>
      <c r="J323" s="19">
        <f t="shared" si="156"/>
        <v>0</v>
      </c>
      <c r="K323" s="19">
        <v>0</v>
      </c>
      <c r="L323" s="19">
        <f t="shared" si="157"/>
        <v>0</v>
      </c>
      <c r="M323" s="33" t="s">
        <v>1177</v>
      </c>
      <c r="P323" s="37">
        <f t="shared" si="158"/>
        <v>0</v>
      </c>
      <c r="R323" s="37">
        <f t="shared" si="159"/>
        <v>0</v>
      </c>
      <c r="S323" s="37">
        <f t="shared" si="160"/>
        <v>0</v>
      </c>
      <c r="T323" s="37">
        <f t="shared" si="161"/>
        <v>0</v>
      </c>
      <c r="U323" s="37">
        <f t="shared" si="162"/>
        <v>0</v>
      </c>
      <c r="V323" s="37">
        <f t="shared" si="163"/>
        <v>0</v>
      </c>
      <c r="W323" s="37">
        <f t="shared" si="164"/>
        <v>0</v>
      </c>
      <c r="X323" s="37">
        <f t="shared" si="165"/>
        <v>0</v>
      </c>
      <c r="Y323" s="28"/>
      <c r="Z323" s="19">
        <f t="shared" si="166"/>
        <v>0</v>
      </c>
      <c r="AA323" s="19">
        <f t="shared" si="167"/>
        <v>0</v>
      </c>
      <c r="AB323" s="19">
        <f t="shared" si="168"/>
        <v>0</v>
      </c>
      <c r="AD323" s="37">
        <v>21</v>
      </c>
      <c r="AE323" s="37">
        <f t="shared" si="169"/>
        <v>0</v>
      </c>
      <c r="AF323" s="37">
        <f t="shared" si="170"/>
        <v>0</v>
      </c>
      <c r="AG323" s="33" t="s">
        <v>13</v>
      </c>
      <c r="AM323" s="37">
        <f t="shared" si="171"/>
        <v>0</v>
      </c>
      <c r="AN323" s="37">
        <f t="shared" si="172"/>
        <v>0</v>
      </c>
      <c r="AO323" s="38" t="s">
        <v>1212</v>
      </c>
      <c r="AP323" s="38" t="s">
        <v>1230</v>
      </c>
      <c r="AQ323" s="28" t="s">
        <v>1234</v>
      </c>
      <c r="AS323" s="37">
        <f t="shared" si="173"/>
        <v>0</v>
      </c>
      <c r="AT323" s="37">
        <f t="shared" si="174"/>
        <v>0</v>
      </c>
      <c r="AU323" s="37">
        <v>0</v>
      </c>
      <c r="AV323" s="37">
        <f t="shared" si="175"/>
        <v>0</v>
      </c>
    </row>
    <row r="324" spans="1:48" ht="12.75">
      <c r="A324" s="5" t="s">
        <v>268</v>
      </c>
      <c r="B324" s="5"/>
      <c r="C324" s="5" t="s">
        <v>635</v>
      </c>
      <c r="D324" s="5" t="s">
        <v>1027</v>
      </c>
      <c r="E324" s="5" t="s">
        <v>1154</v>
      </c>
      <c r="F324" s="19">
        <v>96</v>
      </c>
      <c r="G324" s="19">
        <v>0</v>
      </c>
      <c r="H324" s="19">
        <f t="shared" si="154"/>
        <v>0</v>
      </c>
      <c r="I324" s="19">
        <f t="shared" si="155"/>
        <v>0</v>
      </c>
      <c r="J324" s="19">
        <f t="shared" si="156"/>
        <v>0</v>
      </c>
      <c r="K324" s="19">
        <v>0</v>
      </c>
      <c r="L324" s="19">
        <f t="shared" si="157"/>
        <v>0</v>
      </c>
      <c r="M324" s="33" t="s">
        <v>1177</v>
      </c>
      <c r="P324" s="37">
        <f t="shared" si="158"/>
        <v>0</v>
      </c>
      <c r="R324" s="37">
        <f t="shared" si="159"/>
        <v>0</v>
      </c>
      <c r="S324" s="37">
        <f t="shared" si="160"/>
        <v>0</v>
      </c>
      <c r="T324" s="37">
        <f t="shared" si="161"/>
        <v>0</v>
      </c>
      <c r="U324" s="37">
        <f t="shared" si="162"/>
        <v>0</v>
      </c>
      <c r="V324" s="37">
        <f t="shared" si="163"/>
        <v>0</v>
      </c>
      <c r="W324" s="37">
        <f t="shared" si="164"/>
        <v>0</v>
      </c>
      <c r="X324" s="37">
        <f t="shared" si="165"/>
        <v>0</v>
      </c>
      <c r="Y324" s="28"/>
      <c r="Z324" s="19">
        <f t="shared" si="166"/>
        <v>0</v>
      </c>
      <c r="AA324" s="19">
        <f t="shared" si="167"/>
        <v>0</v>
      </c>
      <c r="AB324" s="19">
        <f t="shared" si="168"/>
        <v>0</v>
      </c>
      <c r="AD324" s="37">
        <v>21</v>
      </c>
      <c r="AE324" s="37">
        <f t="shared" si="169"/>
        <v>0</v>
      </c>
      <c r="AF324" s="37">
        <f t="shared" si="170"/>
        <v>0</v>
      </c>
      <c r="AG324" s="33" t="s">
        <v>13</v>
      </c>
      <c r="AM324" s="37">
        <f t="shared" si="171"/>
        <v>0</v>
      </c>
      <c r="AN324" s="37">
        <f t="shared" si="172"/>
        <v>0</v>
      </c>
      <c r="AO324" s="38" t="s">
        <v>1212</v>
      </c>
      <c r="AP324" s="38" t="s">
        <v>1230</v>
      </c>
      <c r="AQ324" s="28" t="s">
        <v>1234</v>
      </c>
      <c r="AS324" s="37">
        <f t="shared" si="173"/>
        <v>0</v>
      </c>
      <c r="AT324" s="37">
        <f t="shared" si="174"/>
        <v>0</v>
      </c>
      <c r="AU324" s="37">
        <v>0</v>
      </c>
      <c r="AV324" s="37">
        <f t="shared" si="175"/>
        <v>0</v>
      </c>
    </row>
    <row r="325" spans="1:48" ht="12.75">
      <c r="A325" s="5" t="s">
        <v>269</v>
      </c>
      <c r="B325" s="5"/>
      <c r="C325" s="5" t="s">
        <v>636</v>
      </c>
      <c r="D325" s="5" t="s">
        <v>1028</v>
      </c>
      <c r="E325" s="5" t="s">
        <v>1154</v>
      </c>
      <c r="F325" s="19">
        <v>30</v>
      </c>
      <c r="G325" s="19">
        <v>0</v>
      </c>
      <c r="H325" s="19">
        <f t="shared" si="154"/>
        <v>0</v>
      </c>
      <c r="I325" s="19">
        <f t="shared" si="155"/>
        <v>0</v>
      </c>
      <c r="J325" s="19">
        <f t="shared" si="156"/>
        <v>0</v>
      </c>
      <c r="K325" s="19">
        <v>0</v>
      </c>
      <c r="L325" s="19">
        <f t="shared" si="157"/>
        <v>0</v>
      </c>
      <c r="M325" s="33" t="s">
        <v>1177</v>
      </c>
      <c r="P325" s="37">
        <f t="shared" si="158"/>
        <v>0</v>
      </c>
      <c r="R325" s="37">
        <f t="shared" si="159"/>
        <v>0</v>
      </c>
      <c r="S325" s="37">
        <f t="shared" si="160"/>
        <v>0</v>
      </c>
      <c r="T325" s="37">
        <f t="shared" si="161"/>
        <v>0</v>
      </c>
      <c r="U325" s="37">
        <f t="shared" si="162"/>
        <v>0</v>
      </c>
      <c r="V325" s="37">
        <f t="shared" si="163"/>
        <v>0</v>
      </c>
      <c r="W325" s="37">
        <f t="shared" si="164"/>
        <v>0</v>
      </c>
      <c r="X325" s="37">
        <f t="shared" si="165"/>
        <v>0</v>
      </c>
      <c r="Y325" s="28"/>
      <c r="Z325" s="19">
        <f t="shared" si="166"/>
        <v>0</v>
      </c>
      <c r="AA325" s="19">
        <f t="shared" si="167"/>
        <v>0</v>
      </c>
      <c r="AB325" s="19">
        <f t="shared" si="168"/>
        <v>0</v>
      </c>
      <c r="AD325" s="37">
        <v>21</v>
      </c>
      <c r="AE325" s="37">
        <f t="shared" si="169"/>
        <v>0</v>
      </c>
      <c r="AF325" s="37">
        <f t="shared" si="170"/>
        <v>0</v>
      </c>
      <c r="AG325" s="33" t="s">
        <v>13</v>
      </c>
      <c r="AM325" s="37">
        <f t="shared" si="171"/>
        <v>0</v>
      </c>
      <c r="AN325" s="37">
        <f t="shared" si="172"/>
        <v>0</v>
      </c>
      <c r="AO325" s="38" t="s">
        <v>1212</v>
      </c>
      <c r="AP325" s="38" t="s">
        <v>1230</v>
      </c>
      <c r="AQ325" s="28" t="s">
        <v>1234</v>
      </c>
      <c r="AS325" s="37">
        <f t="shared" si="173"/>
        <v>0</v>
      </c>
      <c r="AT325" s="37">
        <f t="shared" si="174"/>
        <v>0</v>
      </c>
      <c r="AU325" s="37">
        <v>0</v>
      </c>
      <c r="AV325" s="37">
        <f t="shared" si="175"/>
        <v>0</v>
      </c>
    </row>
    <row r="326" spans="1:48" ht="12.75">
      <c r="A326" s="5" t="s">
        <v>270</v>
      </c>
      <c r="B326" s="5"/>
      <c r="C326" s="5" t="s">
        <v>637</v>
      </c>
      <c r="D326" s="5" t="s">
        <v>1029</v>
      </c>
      <c r="E326" s="5" t="s">
        <v>1154</v>
      </c>
      <c r="F326" s="19">
        <v>30</v>
      </c>
      <c r="G326" s="19">
        <v>0</v>
      </c>
      <c r="H326" s="19">
        <f t="shared" si="154"/>
        <v>0</v>
      </c>
      <c r="I326" s="19">
        <f t="shared" si="155"/>
        <v>0</v>
      </c>
      <c r="J326" s="19">
        <f t="shared" si="156"/>
        <v>0</v>
      </c>
      <c r="K326" s="19">
        <v>0</v>
      </c>
      <c r="L326" s="19">
        <f t="shared" si="157"/>
        <v>0</v>
      </c>
      <c r="M326" s="33" t="s">
        <v>1177</v>
      </c>
      <c r="P326" s="37">
        <f t="shared" si="158"/>
        <v>0</v>
      </c>
      <c r="R326" s="37">
        <f t="shared" si="159"/>
        <v>0</v>
      </c>
      <c r="S326" s="37">
        <f t="shared" si="160"/>
        <v>0</v>
      </c>
      <c r="T326" s="37">
        <f t="shared" si="161"/>
        <v>0</v>
      </c>
      <c r="U326" s="37">
        <f t="shared" si="162"/>
        <v>0</v>
      </c>
      <c r="V326" s="37">
        <f t="shared" si="163"/>
        <v>0</v>
      </c>
      <c r="W326" s="37">
        <f t="shared" si="164"/>
        <v>0</v>
      </c>
      <c r="X326" s="37">
        <f t="shared" si="165"/>
        <v>0</v>
      </c>
      <c r="Y326" s="28"/>
      <c r="Z326" s="19">
        <f t="shared" si="166"/>
        <v>0</v>
      </c>
      <c r="AA326" s="19">
        <f t="shared" si="167"/>
        <v>0</v>
      </c>
      <c r="AB326" s="19">
        <f t="shared" si="168"/>
        <v>0</v>
      </c>
      <c r="AD326" s="37">
        <v>21</v>
      </c>
      <c r="AE326" s="37">
        <f t="shared" si="169"/>
        <v>0</v>
      </c>
      <c r="AF326" s="37">
        <f t="shared" si="170"/>
        <v>0</v>
      </c>
      <c r="AG326" s="33" t="s">
        <v>13</v>
      </c>
      <c r="AM326" s="37">
        <f t="shared" si="171"/>
        <v>0</v>
      </c>
      <c r="AN326" s="37">
        <f t="shared" si="172"/>
        <v>0</v>
      </c>
      <c r="AO326" s="38" t="s">
        <v>1212</v>
      </c>
      <c r="AP326" s="38" t="s">
        <v>1230</v>
      </c>
      <c r="AQ326" s="28" t="s">
        <v>1234</v>
      </c>
      <c r="AS326" s="37">
        <f t="shared" si="173"/>
        <v>0</v>
      </c>
      <c r="AT326" s="37">
        <f t="shared" si="174"/>
        <v>0</v>
      </c>
      <c r="AU326" s="37">
        <v>0</v>
      </c>
      <c r="AV326" s="37">
        <f t="shared" si="175"/>
        <v>0</v>
      </c>
    </row>
    <row r="327" spans="1:48" ht="12.75">
      <c r="A327" s="5" t="s">
        <v>271</v>
      </c>
      <c r="B327" s="5"/>
      <c r="C327" s="5" t="s">
        <v>638</v>
      </c>
      <c r="D327" s="5" t="s">
        <v>1030</v>
      </c>
      <c r="E327" s="5" t="s">
        <v>1157</v>
      </c>
      <c r="F327" s="19">
        <v>4</v>
      </c>
      <c r="G327" s="19">
        <v>0</v>
      </c>
      <c r="H327" s="19">
        <f t="shared" si="154"/>
        <v>0</v>
      </c>
      <c r="I327" s="19">
        <f t="shared" si="155"/>
        <v>0</v>
      </c>
      <c r="J327" s="19">
        <f t="shared" si="156"/>
        <v>0</v>
      </c>
      <c r="K327" s="19">
        <v>0</v>
      </c>
      <c r="L327" s="19">
        <f t="shared" si="157"/>
        <v>0</v>
      </c>
      <c r="M327" s="33" t="s">
        <v>1177</v>
      </c>
      <c r="P327" s="37">
        <f t="shared" si="158"/>
        <v>0</v>
      </c>
      <c r="R327" s="37">
        <f t="shared" si="159"/>
        <v>0</v>
      </c>
      <c r="S327" s="37">
        <f t="shared" si="160"/>
        <v>0</v>
      </c>
      <c r="T327" s="37">
        <f t="shared" si="161"/>
        <v>0</v>
      </c>
      <c r="U327" s="37">
        <f t="shared" si="162"/>
        <v>0</v>
      </c>
      <c r="V327" s="37">
        <f t="shared" si="163"/>
        <v>0</v>
      </c>
      <c r="W327" s="37">
        <f t="shared" si="164"/>
        <v>0</v>
      </c>
      <c r="X327" s="37">
        <f t="shared" si="165"/>
        <v>0</v>
      </c>
      <c r="Y327" s="28"/>
      <c r="Z327" s="19">
        <f t="shared" si="166"/>
        <v>0</v>
      </c>
      <c r="AA327" s="19">
        <f t="shared" si="167"/>
        <v>0</v>
      </c>
      <c r="AB327" s="19">
        <f t="shared" si="168"/>
        <v>0</v>
      </c>
      <c r="AD327" s="37">
        <v>21</v>
      </c>
      <c r="AE327" s="37">
        <f t="shared" si="169"/>
        <v>0</v>
      </c>
      <c r="AF327" s="37">
        <f t="shared" si="170"/>
        <v>0</v>
      </c>
      <c r="AG327" s="33" t="s">
        <v>13</v>
      </c>
      <c r="AM327" s="37">
        <f t="shared" si="171"/>
        <v>0</v>
      </c>
      <c r="AN327" s="37">
        <f t="shared" si="172"/>
        <v>0</v>
      </c>
      <c r="AO327" s="38" t="s">
        <v>1212</v>
      </c>
      <c r="AP327" s="38" t="s">
        <v>1230</v>
      </c>
      <c r="AQ327" s="28" t="s">
        <v>1234</v>
      </c>
      <c r="AS327" s="37">
        <f t="shared" si="173"/>
        <v>0</v>
      </c>
      <c r="AT327" s="37">
        <f t="shared" si="174"/>
        <v>0</v>
      </c>
      <c r="AU327" s="37">
        <v>0</v>
      </c>
      <c r="AV327" s="37">
        <f t="shared" si="175"/>
        <v>0</v>
      </c>
    </row>
    <row r="328" spans="1:48" ht="12.75">
      <c r="A328" s="5" t="s">
        <v>272</v>
      </c>
      <c r="B328" s="5"/>
      <c r="C328" s="5" t="s">
        <v>639</v>
      </c>
      <c r="D328" s="5" t="s">
        <v>1031</v>
      </c>
      <c r="E328" s="5" t="s">
        <v>1157</v>
      </c>
      <c r="F328" s="19">
        <v>4</v>
      </c>
      <c r="G328" s="19">
        <v>0</v>
      </c>
      <c r="H328" s="19">
        <f t="shared" si="154"/>
        <v>0</v>
      </c>
      <c r="I328" s="19">
        <f t="shared" si="155"/>
        <v>0</v>
      </c>
      <c r="J328" s="19">
        <f t="shared" si="156"/>
        <v>0</v>
      </c>
      <c r="K328" s="19">
        <v>0</v>
      </c>
      <c r="L328" s="19">
        <f t="shared" si="157"/>
        <v>0</v>
      </c>
      <c r="M328" s="33" t="s">
        <v>1177</v>
      </c>
      <c r="P328" s="37">
        <f t="shared" si="158"/>
        <v>0</v>
      </c>
      <c r="R328" s="37">
        <f t="shared" si="159"/>
        <v>0</v>
      </c>
      <c r="S328" s="37">
        <f t="shared" si="160"/>
        <v>0</v>
      </c>
      <c r="T328" s="37">
        <f t="shared" si="161"/>
        <v>0</v>
      </c>
      <c r="U328" s="37">
        <f t="shared" si="162"/>
        <v>0</v>
      </c>
      <c r="V328" s="37">
        <f t="shared" si="163"/>
        <v>0</v>
      </c>
      <c r="W328" s="37">
        <f t="shared" si="164"/>
        <v>0</v>
      </c>
      <c r="X328" s="37">
        <f t="shared" si="165"/>
        <v>0</v>
      </c>
      <c r="Y328" s="28"/>
      <c r="Z328" s="19">
        <f t="shared" si="166"/>
        <v>0</v>
      </c>
      <c r="AA328" s="19">
        <f t="shared" si="167"/>
        <v>0</v>
      </c>
      <c r="AB328" s="19">
        <f t="shared" si="168"/>
        <v>0</v>
      </c>
      <c r="AD328" s="37">
        <v>21</v>
      </c>
      <c r="AE328" s="37">
        <f t="shared" si="169"/>
        <v>0</v>
      </c>
      <c r="AF328" s="37">
        <f t="shared" si="170"/>
        <v>0</v>
      </c>
      <c r="AG328" s="33" t="s">
        <v>13</v>
      </c>
      <c r="AM328" s="37">
        <f t="shared" si="171"/>
        <v>0</v>
      </c>
      <c r="AN328" s="37">
        <f t="shared" si="172"/>
        <v>0</v>
      </c>
      <c r="AO328" s="38" t="s">
        <v>1212</v>
      </c>
      <c r="AP328" s="38" t="s">
        <v>1230</v>
      </c>
      <c r="AQ328" s="28" t="s">
        <v>1234</v>
      </c>
      <c r="AS328" s="37">
        <f t="shared" si="173"/>
        <v>0</v>
      </c>
      <c r="AT328" s="37">
        <f t="shared" si="174"/>
        <v>0</v>
      </c>
      <c r="AU328" s="37">
        <v>0</v>
      </c>
      <c r="AV328" s="37">
        <f t="shared" si="175"/>
        <v>0</v>
      </c>
    </row>
    <row r="329" spans="1:48" ht="12.75">
      <c r="A329" s="5" t="s">
        <v>273</v>
      </c>
      <c r="B329" s="5"/>
      <c r="C329" s="5" t="s">
        <v>640</v>
      </c>
      <c r="D329" s="5" t="s">
        <v>1032</v>
      </c>
      <c r="E329" s="5" t="s">
        <v>1157</v>
      </c>
      <c r="F329" s="19">
        <v>40</v>
      </c>
      <c r="G329" s="19">
        <v>0</v>
      </c>
      <c r="H329" s="19">
        <f t="shared" si="154"/>
        <v>0</v>
      </c>
      <c r="I329" s="19">
        <f t="shared" si="155"/>
        <v>0</v>
      </c>
      <c r="J329" s="19">
        <f t="shared" si="156"/>
        <v>0</v>
      </c>
      <c r="K329" s="19">
        <v>0</v>
      </c>
      <c r="L329" s="19">
        <f t="shared" si="157"/>
        <v>0</v>
      </c>
      <c r="M329" s="33" t="s">
        <v>1177</v>
      </c>
      <c r="P329" s="37">
        <f t="shared" si="158"/>
        <v>0</v>
      </c>
      <c r="R329" s="37">
        <f t="shared" si="159"/>
        <v>0</v>
      </c>
      <c r="S329" s="37">
        <f t="shared" si="160"/>
        <v>0</v>
      </c>
      <c r="T329" s="37">
        <f t="shared" si="161"/>
        <v>0</v>
      </c>
      <c r="U329" s="37">
        <f t="shared" si="162"/>
        <v>0</v>
      </c>
      <c r="V329" s="37">
        <f t="shared" si="163"/>
        <v>0</v>
      </c>
      <c r="W329" s="37">
        <f t="shared" si="164"/>
        <v>0</v>
      </c>
      <c r="X329" s="37">
        <f t="shared" si="165"/>
        <v>0</v>
      </c>
      <c r="Y329" s="28"/>
      <c r="Z329" s="19">
        <f t="shared" si="166"/>
        <v>0</v>
      </c>
      <c r="AA329" s="19">
        <f t="shared" si="167"/>
        <v>0</v>
      </c>
      <c r="AB329" s="19">
        <f t="shared" si="168"/>
        <v>0</v>
      </c>
      <c r="AD329" s="37">
        <v>21</v>
      </c>
      <c r="AE329" s="37">
        <f t="shared" si="169"/>
        <v>0</v>
      </c>
      <c r="AF329" s="37">
        <f t="shared" si="170"/>
        <v>0</v>
      </c>
      <c r="AG329" s="33" t="s">
        <v>13</v>
      </c>
      <c r="AM329" s="37">
        <f t="shared" si="171"/>
        <v>0</v>
      </c>
      <c r="AN329" s="37">
        <f t="shared" si="172"/>
        <v>0</v>
      </c>
      <c r="AO329" s="38" t="s">
        <v>1212</v>
      </c>
      <c r="AP329" s="38" t="s">
        <v>1230</v>
      </c>
      <c r="AQ329" s="28" t="s">
        <v>1234</v>
      </c>
      <c r="AS329" s="37">
        <f t="shared" si="173"/>
        <v>0</v>
      </c>
      <c r="AT329" s="37">
        <f t="shared" si="174"/>
        <v>0</v>
      </c>
      <c r="AU329" s="37">
        <v>0</v>
      </c>
      <c r="AV329" s="37">
        <f t="shared" si="175"/>
        <v>0</v>
      </c>
    </row>
    <row r="330" spans="1:48" ht="12.75">
      <c r="A330" s="5" t="s">
        <v>274</v>
      </c>
      <c r="B330" s="5"/>
      <c r="C330" s="5" t="s">
        <v>641</v>
      </c>
      <c r="D330" s="5" t="s">
        <v>1032</v>
      </c>
      <c r="E330" s="5" t="s">
        <v>1157</v>
      </c>
      <c r="F330" s="19">
        <v>40</v>
      </c>
      <c r="G330" s="19">
        <v>0</v>
      </c>
      <c r="H330" s="19">
        <f t="shared" si="154"/>
        <v>0</v>
      </c>
      <c r="I330" s="19">
        <f t="shared" si="155"/>
        <v>0</v>
      </c>
      <c r="J330" s="19">
        <f t="shared" si="156"/>
        <v>0</v>
      </c>
      <c r="K330" s="19">
        <v>0</v>
      </c>
      <c r="L330" s="19">
        <f t="shared" si="157"/>
        <v>0</v>
      </c>
      <c r="M330" s="33" t="s">
        <v>1177</v>
      </c>
      <c r="P330" s="37">
        <f t="shared" si="158"/>
        <v>0</v>
      </c>
      <c r="R330" s="37">
        <f t="shared" si="159"/>
        <v>0</v>
      </c>
      <c r="S330" s="37">
        <f t="shared" si="160"/>
        <v>0</v>
      </c>
      <c r="T330" s="37">
        <f t="shared" si="161"/>
        <v>0</v>
      </c>
      <c r="U330" s="37">
        <f t="shared" si="162"/>
        <v>0</v>
      </c>
      <c r="V330" s="37">
        <f t="shared" si="163"/>
        <v>0</v>
      </c>
      <c r="W330" s="37">
        <f t="shared" si="164"/>
        <v>0</v>
      </c>
      <c r="X330" s="37">
        <f t="shared" si="165"/>
        <v>0</v>
      </c>
      <c r="Y330" s="28"/>
      <c r="Z330" s="19">
        <f t="shared" si="166"/>
        <v>0</v>
      </c>
      <c r="AA330" s="19">
        <f t="shared" si="167"/>
        <v>0</v>
      </c>
      <c r="AB330" s="19">
        <f t="shared" si="168"/>
        <v>0</v>
      </c>
      <c r="AD330" s="37">
        <v>21</v>
      </c>
      <c r="AE330" s="37">
        <f t="shared" si="169"/>
        <v>0</v>
      </c>
      <c r="AF330" s="37">
        <f t="shared" si="170"/>
        <v>0</v>
      </c>
      <c r="AG330" s="33" t="s">
        <v>13</v>
      </c>
      <c r="AM330" s="37">
        <f t="shared" si="171"/>
        <v>0</v>
      </c>
      <c r="AN330" s="37">
        <f t="shared" si="172"/>
        <v>0</v>
      </c>
      <c r="AO330" s="38" t="s">
        <v>1212</v>
      </c>
      <c r="AP330" s="38" t="s">
        <v>1230</v>
      </c>
      <c r="AQ330" s="28" t="s">
        <v>1234</v>
      </c>
      <c r="AS330" s="37">
        <f t="shared" si="173"/>
        <v>0</v>
      </c>
      <c r="AT330" s="37">
        <f t="shared" si="174"/>
        <v>0</v>
      </c>
      <c r="AU330" s="37">
        <v>0</v>
      </c>
      <c r="AV330" s="37">
        <f t="shared" si="175"/>
        <v>0</v>
      </c>
    </row>
    <row r="331" spans="1:48" ht="12.75">
      <c r="A331" s="5" t="s">
        <v>275</v>
      </c>
      <c r="B331" s="5"/>
      <c r="C331" s="5" t="s">
        <v>642</v>
      </c>
      <c r="D331" s="5" t="s">
        <v>1033</v>
      </c>
      <c r="E331" s="5" t="s">
        <v>1157</v>
      </c>
      <c r="F331" s="19">
        <v>12</v>
      </c>
      <c r="G331" s="19">
        <v>0</v>
      </c>
      <c r="H331" s="19">
        <f t="shared" si="154"/>
        <v>0</v>
      </c>
      <c r="I331" s="19">
        <f t="shared" si="155"/>
        <v>0</v>
      </c>
      <c r="J331" s="19">
        <f t="shared" si="156"/>
        <v>0</v>
      </c>
      <c r="K331" s="19">
        <v>0</v>
      </c>
      <c r="L331" s="19">
        <f t="shared" si="157"/>
        <v>0</v>
      </c>
      <c r="M331" s="33" t="s">
        <v>1177</v>
      </c>
      <c r="P331" s="37">
        <f t="shared" si="158"/>
        <v>0</v>
      </c>
      <c r="R331" s="37">
        <f t="shared" si="159"/>
        <v>0</v>
      </c>
      <c r="S331" s="37">
        <f t="shared" si="160"/>
        <v>0</v>
      </c>
      <c r="T331" s="37">
        <f t="shared" si="161"/>
        <v>0</v>
      </c>
      <c r="U331" s="37">
        <f t="shared" si="162"/>
        <v>0</v>
      </c>
      <c r="V331" s="37">
        <f t="shared" si="163"/>
        <v>0</v>
      </c>
      <c r="W331" s="37">
        <f t="shared" si="164"/>
        <v>0</v>
      </c>
      <c r="X331" s="37">
        <f t="shared" si="165"/>
        <v>0</v>
      </c>
      <c r="Y331" s="28"/>
      <c r="Z331" s="19">
        <f t="shared" si="166"/>
        <v>0</v>
      </c>
      <c r="AA331" s="19">
        <f t="shared" si="167"/>
        <v>0</v>
      </c>
      <c r="AB331" s="19">
        <f t="shared" si="168"/>
        <v>0</v>
      </c>
      <c r="AD331" s="37">
        <v>21</v>
      </c>
      <c r="AE331" s="37">
        <f t="shared" si="169"/>
        <v>0</v>
      </c>
      <c r="AF331" s="37">
        <f t="shared" si="170"/>
        <v>0</v>
      </c>
      <c r="AG331" s="33" t="s">
        <v>13</v>
      </c>
      <c r="AM331" s="37">
        <f t="shared" si="171"/>
        <v>0</v>
      </c>
      <c r="AN331" s="37">
        <f t="shared" si="172"/>
        <v>0</v>
      </c>
      <c r="AO331" s="38" t="s">
        <v>1212</v>
      </c>
      <c r="AP331" s="38" t="s">
        <v>1230</v>
      </c>
      <c r="AQ331" s="28" t="s">
        <v>1234</v>
      </c>
      <c r="AS331" s="37">
        <f t="shared" si="173"/>
        <v>0</v>
      </c>
      <c r="AT331" s="37">
        <f t="shared" si="174"/>
        <v>0</v>
      </c>
      <c r="AU331" s="37">
        <v>0</v>
      </c>
      <c r="AV331" s="37">
        <f t="shared" si="175"/>
        <v>0</v>
      </c>
    </row>
    <row r="332" spans="1:48" ht="12.75">
      <c r="A332" s="5" t="s">
        <v>276</v>
      </c>
      <c r="B332" s="5"/>
      <c r="C332" s="5" t="s">
        <v>643</v>
      </c>
      <c r="D332" s="5" t="s">
        <v>1033</v>
      </c>
      <c r="E332" s="5" t="s">
        <v>1157</v>
      </c>
      <c r="F332" s="19">
        <v>12</v>
      </c>
      <c r="G332" s="19">
        <v>0</v>
      </c>
      <c r="H332" s="19">
        <f t="shared" si="154"/>
        <v>0</v>
      </c>
      <c r="I332" s="19">
        <f t="shared" si="155"/>
        <v>0</v>
      </c>
      <c r="J332" s="19">
        <f t="shared" si="156"/>
        <v>0</v>
      </c>
      <c r="K332" s="19">
        <v>0</v>
      </c>
      <c r="L332" s="19">
        <f t="shared" si="157"/>
        <v>0</v>
      </c>
      <c r="M332" s="33" t="s">
        <v>1177</v>
      </c>
      <c r="P332" s="37">
        <f t="shared" si="158"/>
        <v>0</v>
      </c>
      <c r="R332" s="37">
        <f t="shared" si="159"/>
        <v>0</v>
      </c>
      <c r="S332" s="37">
        <f t="shared" si="160"/>
        <v>0</v>
      </c>
      <c r="T332" s="37">
        <f t="shared" si="161"/>
        <v>0</v>
      </c>
      <c r="U332" s="37">
        <f t="shared" si="162"/>
        <v>0</v>
      </c>
      <c r="V332" s="37">
        <f t="shared" si="163"/>
        <v>0</v>
      </c>
      <c r="W332" s="37">
        <f t="shared" si="164"/>
        <v>0</v>
      </c>
      <c r="X332" s="37">
        <f t="shared" si="165"/>
        <v>0</v>
      </c>
      <c r="Y332" s="28"/>
      <c r="Z332" s="19">
        <f t="shared" si="166"/>
        <v>0</v>
      </c>
      <c r="AA332" s="19">
        <f t="shared" si="167"/>
        <v>0</v>
      </c>
      <c r="AB332" s="19">
        <f t="shared" si="168"/>
        <v>0</v>
      </c>
      <c r="AD332" s="37">
        <v>21</v>
      </c>
      <c r="AE332" s="37">
        <f t="shared" si="169"/>
        <v>0</v>
      </c>
      <c r="AF332" s="37">
        <f t="shared" si="170"/>
        <v>0</v>
      </c>
      <c r="AG332" s="33" t="s">
        <v>13</v>
      </c>
      <c r="AM332" s="37">
        <f t="shared" si="171"/>
        <v>0</v>
      </c>
      <c r="AN332" s="37">
        <f t="shared" si="172"/>
        <v>0</v>
      </c>
      <c r="AO332" s="38" t="s">
        <v>1212</v>
      </c>
      <c r="AP332" s="38" t="s">
        <v>1230</v>
      </c>
      <c r="AQ332" s="28" t="s">
        <v>1234</v>
      </c>
      <c r="AS332" s="37">
        <f t="shared" si="173"/>
        <v>0</v>
      </c>
      <c r="AT332" s="37">
        <f t="shared" si="174"/>
        <v>0</v>
      </c>
      <c r="AU332" s="37">
        <v>0</v>
      </c>
      <c r="AV332" s="37">
        <f t="shared" si="175"/>
        <v>0</v>
      </c>
    </row>
    <row r="333" spans="1:48" ht="12.75">
      <c r="A333" s="5" t="s">
        <v>277</v>
      </c>
      <c r="B333" s="5"/>
      <c r="C333" s="5" t="s">
        <v>644</v>
      </c>
      <c r="D333" s="5" t="s">
        <v>1034</v>
      </c>
      <c r="E333" s="5" t="s">
        <v>1157</v>
      </c>
      <c r="F333" s="19">
        <v>4</v>
      </c>
      <c r="G333" s="19">
        <v>0</v>
      </c>
      <c r="H333" s="19">
        <f t="shared" si="154"/>
        <v>0</v>
      </c>
      <c r="I333" s="19">
        <f t="shared" si="155"/>
        <v>0</v>
      </c>
      <c r="J333" s="19">
        <f t="shared" si="156"/>
        <v>0</v>
      </c>
      <c r="K333" s="19">
        <v>0</v>
      </c>
      <c r="L333" s="19">
        <f t="shared" si="157"/>
        <v>0</v>
      </c>
      <c r="M333" s="33" t="s">
        <v>1177</v>
      </c>
      <c r="P333" s="37">
        <f t="shared" si="158"/>
        <v>0</v>
      </c>
      <c r="R333" s="37">
        <f t="shared" si="159"/>
        <v>0</v>
      </c>
      <c r="S333" s="37">
        <f t="shared" si="160"/>
        <v>0</v>
      </c>
      <c r="T333" s="37">
        <f t="shared" si="161"/>
        <v>0</v>
      </c>
      <c r="U333" s="37">
        <f t="shared" si="162"/>
        <v>0</v>
      </c>
      <c r="V333" s="37">
        <f t="shared" si="163"/>
        <v>0</v>
      </c>
      <c r="W333" s="37">
        <f t="shared" si="164"/>
        <v>0</v>
      </c>
      <c r="X333" s="37">
        <f t="shared" si="165"/>
        <v>0</v>
      </c>
      <c r="Y333" s="28"/>
      <c r="Z333" s="19">
        <f t="shared" si="166"/>
        <v>0</v>
      </c>
      <c r="AA333" s="19">
        <f t="shared" si="167"/>
        <v>0</v>
      </c>
      <c r="AB333" s="19">
        <f t="shared" si="168"/>
        <v>0</v>
      </c>
      <c r="AD333" s="37">
        <v>21</v>
      </c>
      <c r="AE333" s="37">
        <f t="shared" si="169"/>
        <v>0</v>
      </c>
      <c r="AF333" s="37">
        <f t="shared" si="170"/>
        <v>0</v>
      </c>
      <c r="AG333" s="33" t="s">
        <v>13</v>
      </c>
      <c r="AM333" s="37">
        <f t="shared" si="171"/>
        <v>0</v>
      </c>
      <c r="AN333" s="37">
        <f t="shared" si="172"/>
        <v>0</v>
      </c>
      <c r="AO333" s="38" t="s">
        <v>1212</v>
      </c>
      <c r="AP333" s="38" t="s">
        <v>1230</v>
      </c>
      <c r="AQ333" s="28" t="s">
        <v>1234</v>
      </c>
      <c r="AS333" s="37">
        <f t="shared" si="173"/>
        <v>0</v>
      </c>
      <c r="AT333" s="37">
        <f t="shared" si="174"/>
        <v>0</v>
      </c>
      <c r="AU333" s="37">
        <v>0</v>
      </c>
      <c r="AV333" s="37">
        <f t="shared" si="175"/>
        <v>0</v>
      </c>
    </row>
    <row r="334" spans="1:48" ht="12.75">
      <c r="A334" s="5" t="s">
        <v>278</v>
      </c>
      <c r="B334" s="5"/>
      <c r="C334" s="5" t="s">
        <v>645</v>
      </c>
      <c r="D334" s="5" t="s">
        <v>1035</v>
      </c>
      <c r="E334" s="5" t="s">
        <v>1157</v>
      </c>
      <c r="F334" s="19">
        <v>4</v>
      </c>
      <c r="G334" s="19">
        <v>0</v>
      </c>
      <c r="H334" s="19">
        <f t="shared" si="154"/>
        <v>0</v>
      </c>
      <c r="I334" s="19">
        <f t="shared" si="155"/>
        <v>0</v>
      </c>
      <c r="J334" s="19">
        <f t="shared" si="156"/>
        <v>0</v>
      </c>
      <c r="K334" s="19">
        <v>0</v>
      </c>
      <c r="L334" s="19">
        <f t="shared" si="157"/>
        <v>0</v>
      </c>
      <c r="M334" s="33" t="s">
        <v>1177</v>
      </c>
      <c r="P334" s="37">
        <f t="shared" si="158"/>
        <v>0</v>
      </c>
      <c r="R334" s="37">
        <f t="shared" si="159"/>
        <v>0</v>
      </c>
      <c r="S334" s="37">
        <f t="shared" si="160"/>
        <v>0</v>
      </c>
      <c r="T334" s="37">
        <f t="shared" si="161"/>
        <v>0</v>
      </c>
      <c r="U334" s="37">
        <f t="shared" si="162"/>
        <v>0</v>
      </c>
      <c r="V334" s="37">
        <f t="shared" si="163"/>
        <v>0</v>
      </c>
      <c r="W334" s="37">
        <f t="shared" si="164"/>
        <v>0</v>
      </c>
      <c r="X334" s="37">
        <f t="shared" si="165"/>
        <v>0</v>
      </c>
      <c r="Y334" s="28"/>
      <c r="Z334" s="19">
        <f t="shared" si="166"/>
        <v>0</v>
      </c>
      <c r="AA334" s="19">
        <f t="shared" si="167"/>
        <v>0</v>
      </c>
      <c r="AB334" s="19">
        <f t="shared" si="168"/>
        <v>0</v>
      </c>
      <c r="AD334" s="37">
        <v>21</v>
      </c>
      <c r="AE334" s="37">
        <f t="shared" si="169"/>
        <v>0</v>
      </c>
      <c r="AF334" s="37">
        <f t="shared" si="170"/>
        <v>0</v>
      </c>
      <c r="AG334" s="33" t="s">
        <v>13</v>
      </c>
      <c r="AM334" s="37">
        <f t="shared" si="171"/>
        <v>0</v>
      </c>
      <c r="AN334" s="37">
        <f t="shared" si="172"/>
        <v>0</v>
      </c>
      <c r="AO334" s="38" t="s">
        <v>1212</v>
      </c>
      <c r="AP334" s="38" t="s">
        <v>1230</v>
      </c>
      <c r="AQ334" s="28" t="s">
        <v>1234</v>
      </c>
      <c r="AS334" s="37">
        <f t="shared" si="173"/>
        <v>0</v>
      </c>
      <c r="AT334" s="37">
        <f t="shared" si="174"/>
        <v>0</v>
      </c>
      <c r="AU334" s="37">
        <v>0</v>
      </c>
      <c r="AV334" s="37">
        <f t="shared" si="175"/>
        <v>0</v>
      </c>
    </row>
    <row r="335" spans="1:48" ht="12.75">
      <c r="A335" s="5" t="s">
        <v>279</v>
      </c>
      <c r="B335" s="5"/>
      <c r="C335" s="5" t="s">
        <v>646</v>
      </c>
      <c r="D335" s="5" t="s">
        <v>1036</v>
      </c>
      <c r="E335" s="5" t="s">
        <v>1157</v>
      </c>
      <c r="F335" s="19">
        <v>18</v>
      </c>
      <c r="G335" s="19">
        <v>0</v>
      </c>
      <c r="H335" s="19">
        <f t="shared" si="154"/>
        <v>0</v>
      </c>
      <c r="I335" s="19">
        <f t="shared" si="155"/>
        <v>0</v>
      </c>
      <c r="J335" s="19">
        <f t="shared" si="156"/>
        <v>0</v>
      </c>
      <c r="K335" s="19">
        <v>0</v>
      </c>
      <c r="L335" s="19">
        <f t="shared" si="157"/>
        <v>0</v>
      </c>
      <c r="M335" s="33" t="s">
        <v>1177</v>
      </c>
      <c r="P335" s="37">
        <f t="shared" si="158"/>
        <v>0</v>
      </c>
      <c r="R335" s="37">
        <f t="shared" si="159"/>
        <v>0</v>
      </c>
      <c r="S335" s="37">
        <f t="shared" si="160"/>
        <v>0</v>
      </c>
      <c r="T335" s="37">
        <f t="shared" si="161"/>
        <v>0</v>
      </c>
      <c r="U335" s="37">
        <f t="shared" si="162"/>
        <v>0</v>
      </c>
      <c r="V335" s="37">
        <f t="shared" si="163"/>
        <v>0</v>
      </c>
      <c r="W335" s="37">
        <f t="shared" si="164"/>
        <v>0</v>
      </c>
      <c r="X335" s="37">
        <f t="shared" si="165"/>
        <v>0</v>
      </c>
      <c r="Y335" s="28"/>
      <c r="Z335" s="19">
        <f t="shared" si="166"/>
        <v>0</v>
      </c>
      <c r="AA335" s="19">
        <f t="shared" si="167"/>
        <v>0</v>
      </c>
      <c r="AB335" s="19">
        <f t="shared" si="168"/>
        <v>0</v>
      </c>
      <c r="AD335" s="37">
        <v>21</v>
      </c>
      <c r="AE335" s="37">
        <f t="shared" si="169"/>
        <v>0</v>
      </c>
      <c r="AF335" s="37">
        <f t="shared" si="170"/>
        <v>0</v>
      </c>
      <c r="AG335" s="33" t="s">
        <v>13</v>
      </c>
      <c r="AM335" s="37">
        <f t="shared" si="171"/>
        <v>0</v>
      </c>
      <c r="AN335" s="37">
        <f t="shared" si="172"/>
        <v>0</v>
      </c>
      <c r="AO335" s="38" t="s">
        <v>1212</v>
      </c>
      <c r="AP335" s="38" t="s">
        <v>1230</v>
      </c>
      <c r="AQ335" s="28" t="s">
        <v>1234</v>
      </c>
      <c r="AS335" s="37">
        <f t="shared" si="173"/>
        <v>0</v>
      </c>
      <c r="AT335" s="37">
        <f t="shared" si="174"/>
        <v>0</v>
      </c>
      <c r="AU335" s="37">
        <v>0</v>
      </c>
      <c r="AV335" s="37">
        <f t="shared" si="175"/>
        <v>0</v>
      </c>
    </row>
    <row r="336" spans="1:48" ht="12.75">
      <c r="A336" s="5" t="s">
        <v>280</v>
      </c>
      <c r="B336" s="5"/>
      <c r="C336" s="5" t="s">
        <v>647</v>
      </c>
      <c r="D336" s="5" t="s">
        <v>1036</v>
      </c>
      <c r="E336" s="5" t="s">
        <v>1157</v>
      </c>
      <c r="F336" s="19">
        <v>18</v>
      </c>
      <c r="G336" s="19">
        <v>0</v>
      </c>
      <c r="H336" s="19">
        <f t="shared" si="154"/>
        <v>0</v>
      </c>
      <c r="I336" s="19">
        <f t="shared" si="155"/>
        <v>0</v>
      </c>
      <c r="J336" s="19">
        <f t="shared" si="156"/>
        <v>0</v>
      </c>
      <c r="K336" s="19">
        <v>0</v>
      </c>
      <c r="L336" s="19">
        <f t="shared" si="157"/>
        <v>0</v>
      </c>
      <c r="M336" s="33" t="s">
        <v>1177</v>
      </c>
      <c r="P336" s="37">
        <f t="shared" si="158"/>
        <v>0</v>
      </c>
      <c r="R336" s="37">
        <f t="shared" si="159"/>
        <v>0</v>
      </c>
      <c r="S336" s="37">
        <f t="shared" si="160"/>
        <v>0</v>
      </c>
      <c r="T336" s="37">
        <f t="shared" si="161"/>
        <v>0</v>
      </c>
      <c r="U336" s="37">
        <f t="shared" si="162"/>
        <v>0</v>
      </c>
      <c r="V336" s="37">
        <f t="shared" si="163"/>
        <v>0</v>
      </c>
      <c r="W336" s="37">
        <f t="shared" si="164"/>
        <v>0</v>
      </c>
      <c r="X336" s="37">
        <f t="shared" si="165"/>
        <v>0</v>
      </c>
      <c r="Y336" s="28"/>
      <c r="Z336" s="19">
        <f t="shared" si="166"/>
        <v>0</v>
      </c>
      <c r="AA336" s="19">
        <f t="shared" si="167"/>
        <v>0</v>
      </c>
      <c r="AB336" s="19">
        <f t="shared" si="168"/>
        <v>0</v>
      </c>
      <c r="AD336" s="37">
        <v>21</v>
      </c>
      <c r="AE336" s="37">
        <f t="shared" si="169"/>
        <v>0</v>
      </c>
      <c r="AF336" s="37">
        <f t="shared" si="170"/>
        <v>0</v>
      </c>
      <c r="AG336" s="33" t="s">
        <v>13</v>
      </c>
      <c r="AM336" s="37">
        <f t="shared" si="171"/>
        <v>0</v>
      </c>
      <c r="AN336" s="37">
        <f t="shared" si="172"/>
        <v>0</v>
      </c>
      <c r="AO336" s="38" t="s">
        <v>1212</v>
      </c>
      <c r="AP336" s="38" t="s">
        <v>1230</v>
      </c>
      <c r="AQ336" s="28" t="s">
        <v>1234</v>
      </c>
      <c r="AS336" s="37">
        <f t="shared" si="173"/>
        <v>0</v>
      </c>
      <c r="AT336" s="37">
        <f t="shared" si="174"/>
        <v>0</v>
      </c>
      <c r="AU336" s="37">
        <v>0</v>
      </c>
      <c r="AV336" s="37">
        <f t="shared" si="175"/>
        <v>0</v>
      </c>
    </row>
    <row r="337" spans="1:48" ht="12.75">
      <c r="A337" s="5" t="s">
        <v>281</v>
      </c>
      <c r="B337" s="5"/>
      <c r="C337" s="5" t="s">
        <v>619</v>
      </c>
      <c r="D337" s="5" t="s">
        <v>1037</v>
      </c>
      <c r="E337" s="5" t="s">
        <v>1157</v>
      </c>
      <c r="F337" s="19">
        <v>4</v>
      </c>
      <c r="G337" s="19">
        <v>0</v>
      </c>
      <c r="H337" s="19">
        <f t="shared" si="154"/>
        <v>0</v>
      </c>
      <c r="I337" s="19">
        <f t="shared" si="155"/>
        <v>0</v>
      </c>
      <c r="J337" s="19">
        <f t="shared" si="156"/>
        <v>0</v>
      </c>
      <c r="K337" s="19">
        <v>0</v>
      </c>
      <c r="L337" s="19">
        <f t="shared" si="157"/>
        <v>0</v>
      </c>
      <c r="M337" s="33" t="s">
        <v>1177</v>
      </c>
      <c r="P337" s="37">
        <f t="shared" si="158"/>
        <v>0</v>
      </c>
      <c r="R337" s="37">
        <f t="shared" si="159"/>
        <v>0</v>
      </c>
      <c r="S337" s="37">
        <f t="shared" si="160"/>
        <v>0</v>
      </c>
      <c r="T337" s="37">
        <f t="shared" si="161"/>
        <v>0</v>
      </c>
      <c r="U337" s="37">
        <f t="shared" si="162"/>
        <v>0</v>
      </c>
      <c r="V337" s="37">
        <f t="shared" si="163"/>
        <v>0</v>
      </c>
      <c r="W337" s="37">
        <f t="shared" si="164"/>
        <v>0</v>
      </c>
      <c r="X337" s="37">
        <f t="shared" si="165"/>
        <v>0</v>
      </c>
      <c r="Y337" s="28"/>
      <c r="Z337" s="19">
        <f t="shared" si="166"/>
        <v>0</v>
      </c>
      <c r="AA337" s="19">
        <f t="shared" si="167"/>
        <v>0</v>
      </c>
      <c r="AB337" s="19">
        <f t="shared" si="168"/>
        <v>0</v>
      </c>
      <c r="AD337" s="37">
        <v>21</v>
      </c>
      <c r="AE337" s="37">
        <f t="shared" si="169"/>
        <v>0</v>
      </c>
      <c r="AF337" s="37">
        <f t="shared" si="170"/>
        <v>0</v>
      </c>
      <c r="AG337" s="33" t="s">
        <v>13</v>
      </c>
      <c r="AM337" s="37">
        <f t="shared" si="171"/>
        <v>0</v>
      </c>
      <c r="AN337" s="37">
        <f t="shared" si="172"/>
        <v>0</v>
      </c>
      <c r="AO337" s="38" t="s">
        <v>1212</v>
      </c>
      <c r="AP337" s="38" t="s">
        <v>1230</v>
      </c>
      <c r="AQ337" s="28" t="s">
        <v>1234</v>
      </c>
      <c r="AS337" s="37">
        <f t="shared" si="173"/>
        <v>0</v>
      </c>
      <c r="AT337" s="37">
        <f t="shared" si="174"/>
        <v>0</v>
      </c>
      <c r="AU337" s="37">
        <v>0</v>
      </c>
      <c r="AV337" s="37">
        <f t="shared" si="175"/>
        <v>0</v>
      </c>
    </row>
    <row r="338" spans="1:48" ht="12.75">
      <c r="A338" s="5" t="s">
        <v>282</v>
      </c>
      <c r="B338" s="5"/>
      <c r="C338" s="5" t="s">
        <v>620</v>
      </c>
      <c r="D338" s="5" t="s">
        <v>1037</v>
      </c>
      <c r="E338" s="5" t="s">
        <v>1157</v>
      </c>
      <c r="F338" s="19">
        <v>4</v>
      </c>
      <c r="G338" s="19">
        <v>0</v>
      </c>
      <c r="H338" s="19">
        <f t="shared" si="154"/>
        <v>0</v>
      </c>
      <c r="I338" s="19">
        <f t="shared" si="155"/>
        <v>0</v>
      </c>
      <c r="J338" s="19">
        <f t="shared" si="156"/>
        <v>0</v>
      </c>
      <c r="K338" s="19">
        <v>0</v>
      </c>
      <c r="L338" s="19">
        <f t="shared" si="157"/>
        <v>0</v>
      </c>
      <c r="M338" s="33" t="s">
        <v>1177</v>
      </c>
      <c r="P338" s="37">
        <f t="shared" si="158"/>
        <v>0</v>
      </c>
      <c r="R338" s="37">
        <f t="shared" si="159"/>
        <v>0</v>
      </c>
      <c r="S338" s="37">
        <f t="shared" si="160"/>
        <v>0</v>
      </c>
      <c r="T338" s="37">
        <f t="shared" si="161"/>
        <v>0</v>
      </c>
      <c r="U338" s="37">
        <f t="shared" si="162"/>
        <v>0</v>
      </c>
      <c r="V338" s="37">
        <f t="shared" si="163"/>
        <v>0</v>
      </c>
      <c r="W338" s="37">
        <f t="shared" si="164"/>
        <v>0</v>
      </c>
      <c r="X338" s="37">
        <f t="shared" si="165"/>
        <v>0</v>
      </c>
      <c r="Y338" s="28"/>
      <c r="Z338" s="19">
        <f t="shared" si="166"/>
        <v>0</v>
      </c>
      <c r="AA338" s="19">
        <f t="shared" si="167"/>
        <v>0</v>
      </c>
      <c r="AB338" s="19">
        <f t="shared" si="168"/>
        <v>0</v>
      </c>
      <c r="AD338" s="37">
        <v>21</v>
      </c>
      <c r="AE338" s="37">
        <f t="shared" si="169"/>
        <v>0</v>
      </c>
      <c r="AF338" s="37">
        <f t="shared" si="170"/>
        <v>0</v>
      </c>
      <c r="AG338" s="33" t="s">
        <v>13</v>
      </c>
      <c r="AM338" s="37">
        <f t="shared" si="171"/>
        <v>0</v>
      </c>
      <c r="AN338" s="37">
        <f t="shared" si="172"/>
        <v>0</v>
      </c>
      <c r="AO338" s="38" t="s">
        <v>1212</v>
      </c>
      <c r="AP338" s="38" t="s">
        <v>1230</v>
      </c>
      <c r="AQ338" s="28" t="s">
        <v>1234</v>
      </c>
      <c r="AS338" s="37">
        <f t="shared" si="173"/>
        <v>0</v>
      </c>
      <c r="AT338" s="37">
        <f t="shared" si="174"/>
        <v>0</v>
      </c>
      <c r="AU338" s="37">
        <v>0</v>
      </c>
      <c r="AV338" s="37">
        <f t="shared" si="175"/>
        <v>0</v>
      </c>
    </row>
    <row r="339" spans="1:48" ht="12.75">
      <c r="A339" s="5" t="s">
        <v>283</v>
      </c>
      <c r="B339" s="5"/>
      <c r="C339" s="5" t="s">
        <v>648</v>
      </c>
      <c r="D339" s="5" t="s">
        <v>1038</v>
      </c>
      <c r="E339" s="5" t="s">
        <v>1157</v>
      </c>
      <c r="F339" s="19">
        <v>10</v>
      </c>
      <c r="G339" s="19">
        <v>0</v>
      </c>
      <c r="H339" s="19">
        <f t="shared" si="154"/>
        <v>0</v>
      </c>
      <c r="I339" s="19">
        <f t="shared" si="155"/>
        <v>0</v>
      </c>
      <c r="J339" s="19">
        <f t="shared" si="156"/>
        <v>0</v>
      </c>
      <c r="K339" s="19">
        <v>0</v>
      </c>
      <c r="L339" s="19">
        <f t="shared" si="157"/>
        <v>0</v>
      </c>
      <c r="M339" s="33" t="s">
        <v>1177</v>
      </c>
      <c r="P339" s="37">
        <f t="shared" si="158"/>
        <v>0</v>
      </c>
      <c r="R339" s="37">
        <f t="shared" si="159"/>
        <v>0</v>
      </c>
      <c r="S339" s="37">
        <f t="shared" si="160"/>
        <v>0</v>
      </c>
      <c r="T339" s="37">
        <f t="shared" si="161"/>
        <v>0</v>
      </c>
      <c r="U339" s="37">
        <f t="shared" si="162"/>
        <v>0</v>
      </c>
      <c r="V339" s="37">
        <f t="shared" si="163"/>
        <v>0</v>
      </c>
      <c r="W339" s="37">
        <f t="shared" si="164"/>
        <v>0</v>
      </c>
      <c r="X339" s="37">
        <f t="shared" si="165"/>
        <v>0</v>
      </c>
      <c r="Y339" s="28"/>
      <c r="Z339" s="19">
        <f t="shared" si="166"/>
        <v>0</v>
      </c>
      <c r="AA339" s="19">
        <f t="shared" si="167"/>
        <v>0</v>
      </c>
      <c r="AB339" s="19">
        <f t="shared" si="168"/>
        <v>0</v>
      </c>
      <c r="AD339" s="37">
        <v>21</v>
      </c>
      <c r="AE339" s="37">
        <f t="shared" si="169"/>
        <v>0</v>
      </c>
      <c r="AF339" s="37">
        <f t="shared" si="170"/>
        <v>0</v>
      </c>
      <c r="AG339" s="33" t="s">
        <v>13</v>
      </c>
      <c r="AM339" s="37">
        <f t="shared" si="171"/>
        <v>0</v>
      </c>
      <c r="AN339" s="37">
        <f t="shared" si="172"/>
        <v>0</v>
      </c>
      <c r="AO339" s="38" t="s">
        <v>1212</v>
      </c>
      <c r="AP339" s="38" t="s">
        <v>1230</v>
      </c>
      <c r="AQ339" s="28" t="s">
        <v>1234</v>
      </c>
      <c r="AS339" s="37">
        <f t="shared" si="173"/>
        <v>0</v>
      </c>
      <c r="AT339" s="37">
        <f t="shared" si="174"/>
        <v>0</v>
      </c>
      <c r="AU339" s="37">
        <v>0</v>
      </c>
      <c r="AV339" s="37">
        <f t="shared" si="175"/>
        <v>0</v>
      </c>
    </row>
    <row r="340" spans="1:48" ht="12.75">
      <c r="A340" s="5" t="s">
        <v>284</v>
      </c>
      <c r="B340" s="5"/>
      <c r="C340" s="5" t="s">
        <v>647</v>
      </c>
      <c r="D340" s="5" t="s">
        <v>1039</v>
      </c>
      <c r="E340" s="5" t="s">
        <v>1157</v>
      </c>
      <c r="F340" s="19">
        <v>10</v>
      </c>
      <c r="G340" s="19">
        <v>0</v>
      </c>
      <c r="H340" s="19">
        <f t="shared" si="154"/>
        <v>0</v>
      </c>
      <c r="I340" s="19">
        <f t="shared" si="155"/>
        <v>0</v>
      </c>
      <c r="J340" s="19">
        <f t="shared" si="156"/>
        <v>0</v>
      </c>
      <c r="K340" s="19">
        <v>0</v>
      </c>
      <c r="L340" s="19">
        <f t="shared" si="157"/>
        <v>0</v>
      </c>
      <c r="M340" s="33" t="s">
        <v>1177</v>
      </c>
      <c r="P340" s="37">
        <f t="shared" si="158"/>
        <v>0</v>
      </c>
      <c r="R340" s="37">
        <f t="shared" si="159"/>
        <v>0</v>
      </c>
      <c r="S340" s="37">
        <f t="shared" si="160"/>
        <v>0</v>
      </c>
      <c r="T340" s="37">
        <f t="shared" si="161"/>
        <v>0</v>
      </c>
      <c r="U340" s="37">
        <f t="shared" si="162"/>
        <v>0</v>
      </c>
      <c r="V340" s="37">
        <f t="shared" si="163"/>
        <v>0</v>
      </c>
      <c r="W340" s="37">
        <f t="shared" si="164"/>
        <v>0</v>
      </c>
      <c r="X340" s="37">
        <f t="shared" si="165"/>
        <v>0</v>
      </c>
      <c r="Y340" s="28"/>
      <c r="Z340" s="19">
        <f t="shared" si="166"/>
        <v>0</v>
      </c>
      <c r="AA340" s="19">
        <f t="shared" si="167"/>
        <v>0</v>
      </c>
      <c r="AB340" s="19">
        <f t="shared" si="168"/>
        <v>0</v>
      </c>
      <c r="AD340" s="37">
        <v>21</v>
      </c>
      <c r="AE340" s="37">
        <f t="shared" si="169"/>
        <v>0</v>
      </c>
      <c r="AF340" s="37">
        <f t="shared" si="170"/>
        <v>0</v>
      </c>
      <c r="AG340" s="33" t="s">
        <v>13</v>
      </c>
      <c r="AM340" s="37">
        <f t="shared" si="171"/>
        <v>0</v>
      </c>
      <c r="AN340" s="37">
        <f t="shared" si="172"/>
        <v>0</v>
      </c>
      <c r="AO340" s="38" t="s">
        <v>1212</v>
      </c>
      <c r="AP340" s="38" t="s">
        <v>1230</v>
      </c>
      <c r="AQ340" s="28" t="s">
        <v>1234</v>
      </c>
      <c r="AS340" s="37">
        <f t="shared" si="173"/>
        <v>0</v>
      </c>
      <c r="AT340" s="37">
        <f t="shared" si="174"/>
        <v>0</v>
      </c>
      <c r="AU340" s="37">
        <v>0</v>
      </c>
      <c r="AV340" s="37">
        <f t="shared" si="175"/>
        <v>0</v>
      </c>
    </row>
    <row r="341" spans="1:48" ht="12.75">
      <c r="A341" s="5" t="s">
        <v>285</v>
      </c>
      <c r="B341" s="5"/>
      <c r="C341" s="5" t="s">
        <v>619</v>
      </c>
      <c r="D341" s="5" t="s">
        <v>1012</v>
      </c>
      <c r="E341" s="5" t="s">
        <v>1157</v>
      </c>
      <c r="F341" s="19">
        <v>8</v>
      </c>
      <c r="G341" s="19">
        <v>0</v>
      </c>
      <c r="H341" s="19">
        <f t="shared" si="154"/>
        <v>0</v>
      </c>
      <c r="I341" s="19">
        <f t="shared" si="155"/>
        <v>0</v>
      </c>
      <c r="J341" s="19">
        <f t="shared" si="156"/>
        <v>0</v>
      </c>
      <c r="K341" s="19">
        <v>0</v>
      </c>
      <c r="L341" s="19">
        <f t="shared" si="157"/>
        <v>0</v>
      </c>
      <c r="M341" s="33" t="s">
        <v>1177</v>
      </c>
      <c r="P341" s="37">
        <f t="shared" si="158"/>
        <v>0</v>
      </c>
      <c r="R341" s="37">
        <f t="shared" si="159"/>
        <v>0</v>
      </c>
      <c r="S341" s="37">
        <f t="shared" si="160"/>
        <v>0</v>
      </c>
      <c r="T341" s="37">
        <f t="shared" si="161"/>
        <v>0</v>
      </c>
      <c r="U341" s="37">
        <f t="shared" si="162"/>
        <v>0</v>
      </c>
      <c r="V341" s="37">
        <f t="shared" si="163"/>
        <v>0</v>
      </c>
      <c r="W341" s="37">
        <f t="shared" si="164"/>
        <v>0</v>
      </c>
      <c r="X341" s="37">
        <f t="shared" si="165"/>
        <v>0</v>
      </c>
      <c r="Y341" s="28"/>
      <c r="Z341" s="19">
        <f t="shared" si="166"/>
        <v>0</v>
      </c>
      <c r="AA341" s="19">
        <f t="shared" si="167"/>
        <v>0</v>
      </c>
      <c r="AB341" s="19">
        <f t="shared" si="168"/>
        <v>0</v>
      </c>
      <c r="AD341" s="37">
        <v>21</v>
      </c>
      <c r="AE341" s="37">
        <f t="shared" si="169"/>
        <v>0</v>
      </c>
      <c r="AF341" s="37">
        <f t="shared" si="170"/>
        <v>0</v>
      </c>
      <c r="AG341" s="33" t="s">
        <v>13</v>
      </c>
      <c r="AM341" s="37">
        <f t="shared" si="171"/>
        <v>0</v>
      </c>
      <c r="AN341" s="37">
        <f t="shared" si="172"/>
        <v>0</v>
      </c>
      <c r="AO341" s="38" t="s">
        <v>1212</v>
      </c>
      <c r="AP341" s="38" t="s">
        <v>1230</v>
      </c>
      <c r="AQ341" s="28" t="s">
        <v>1234</v>
      </c>
      <c r="AS341" s="37">
        <f t="shared" si="173"/>
        <v>0</v>
      </c>
      <c r="AT341" s="37">
        <f t="shared" si="174"/>
        <v>0</v>
      </c>
      <c r="AU341" s="37">
        <v>0</v>
      </c>
      <c r="AV341" s="37">
        <f t="shared" si="175"/>
        <v>0</v>
      </c>
    </row>
    <row r="342" spans="1:48" ht="12.75">
      <c r="A342" s="5" t="s">
        <v>286</v>
      </c>
      <c r="B342" s="5"/>
      <c r="C342" s="5" t="s">
        <v>620</v>
      </c>
      <c r="D342" s="5" t="s">
        <v>1012</v>
      </c>
      <c r="E342" s="5" t="s">
        <v>1157</v>
      </c>
      <c r="F342" s="19">
        <v>8</v>
      </c>
      <c r="G342" s="19">
        <v>0</v>
      </c>
      <c r="H342" s="19">
        <f t="shared" si="154"/>
        <v>0</v>
      </c>
      <c r="I342" s="19">
        <f t="shared" si="155"/>
        <v>0</v>
      </c>
      <c r="J342" s="19">
        <f t="shared" si="156"/>
        <v>0</v>
      </c>
      <c r="K342" s="19">
        <v>0</v>
      </c>
      <c r="L342" s="19">
        <f t="shared" si="157"/>
        <v>0</v>
      </c>
      <c r="M342" s="33" t="s">
        <v>1177</v>
      </c>
      <c r="P342" s="37">
        <f t="shared" si="158"/>
        <v>0</v>
      </c>
      <c r="R342" s="37">
        <f t="shared" si="159"/>
        <v>0</v>
      </c>
      <c r="S342" s="37">
        <f t="shared" si="160"/>
        <v>0</v>
      </c>
      <c r="T342" s="37">
        <f t="shared" si="161"/>
        <v>0</v>
      </c>
      <c r="U342" s="37">
        <f t="shared" si="162"/>
        <v>0</v>
      </c>
      <c r="V342" s="37">
        <f t="shared" si="163"/>
        <v>0</v>
      </c>
      <c r="W342" s="37">
        <f t="shared" si="164"/>
        <v>0</v>
      </c>
      <c r="X342" s="37">
        <f t="shared" si="165"/>
        <v>0</v>
      </c>
      <c r="Y342" s="28"/>
      <c r="Z342" s="19">
        <f t="shared" si="166"/>
        <v>0</v>
      </c>
      <c r="AA342" s="19">
        <f t="shared" si="167"/>
        <v>0</v>
      </c>
      <c r="AB342" s="19">
        <f t="shared" si="168"/>
        <v>0</v>
      </c>
      <c r="AD342" s="37">
        <v>21</v>
      </c>
      <c r="AE342" s="37">
        <f t="shared" si="169"/>
        <v>0</v>
      </c>
      <c r="AF342" s="37">
        <f t="shared" si="170"/>
        <v>0</v>
      </c>
      <c r="AG342" s="33" t="s">
        <v>13</v>
      </c>
      <c r="AM342" s="37">
        <f t="shared" si="171"/>
        <v>0</v>
      </c>
      <c r="AN342" s="37">
        <f t="shared" si="172"/>
        <v>0</v>
      </c>
      <c r="AO342" s="38" t="s">
        <v>1212</v>
      </c>
      <c r="AP342" s="38" t="s">
        <v>1230</v>
      </c>
      <c r="AQ342" s="28" t="s">
        <v>1234</v>
      </c>
      <c r="AS342" s="37">
        <f t="shared" si="173"/>
        <v>0</v>
      </c>
      <c r="AT342" s="37">
        <f t="shared" si="174"/>
        <v>0</v>
      </c>
      <c r="AU342" s="37">
        <v>0</v>
      </c>
      <c r="AV342" s="37">
        <f t="shared" si="175"/>
        <v>0</v>
      </c>
    </row>
    <row r="343" spans="1:48" ht="12.75">
      <c r="A343" s="5" t="s">
        <v>287</v>
      </c>
      <c r="B343" s="5"/>
      <c r="C343" s="5" t="s">
        <v>649</v>
      </c>
      <c r="D343" s="5" t="s">
        <v>1040</v>
      </c>
      <c r="E343" s="5" t="s">
        <v>1157</v>
      </c>
      <c r="F343" s="19">
        <v>12</v>
      </c>
      <c r="G343" s="19">
        <v>0</v>
      </c>
      <c r="H343" s="19">
        <f t="shared" si="154"/>
        <v>0</v>
      </c>
      <c r="I343" s="19">
        <f t="shared" si="155"/>
        <v>0</v>
      </c>
      <c r="J343" s="19">
        <f t="shared" si="156"/>
        <v>0</v>
      </c>
      <c r="K343" s="19">
        <v>0</v>
      </c>
      <c r="L343" s="19">
        <f t="shared" si="157"/>
        <v>0</v>
      </c>
      <c r="M343" s="33" t="s">
        <v>1177</v>
      </c>
      <c r="P343" s="37">
        <f t="shared" si="158"/>
        <v>0</v>
      </c>
      <c r="R343" s="37">
        <f t="shared" si="159"/>
        <v>0</v>
      </c>
      <c r="S343" s="37">
        <f t="shared" si="160"/>
        <v>0</v>
      </c>
      <c r="T343" s="37">
        <f t="shared" si="161"/>
        <v>0</v>
      </c>
      <c r="U343" s="37">
        <f t="shared" si="162"/>
        <v>0</v>
      </c>
      <c r="V343" s="37">
        <f t="shared" si="163"/>
        <v>0</v>
      </c>
      <c r="W343" s="37">
        <f t="shared" si="164"/>
        <v>0</v>
      </c>
      <c r="X343" s="37">
        <f t="shared" si="165"/>
        <v>0</v>
      </c>
      <c r="Y343" s="28"/>
      <c r="Z343" s="19">
        <f t="shared" si="166"/>
        <v>0</v>
      </c>
      <c r="AA343" s="19">
        <f t="shared" si="167"/>
        <v>0</v>
      </c>
      <c r="AB343" s="19">
        <f t="shared" si="168"/>
        <v>0</v>
      </c>
      <c r="AD343" s="37">
        <v>21</v>
      </c>
      <c r="AE343" s="37">
        <f t="shared" si="169"/>
        <v>0</v>
      </c>
      <c r="AF343" s="37">
        <f t="shared" si="170"/>
        <v>0</v>
      </c>
      <c r="AG343" s="33" t="s">
        <v>13</v>
      </c>
      <c r="AM343" s="37">
        <f t="shared" si="171"/>
        <v>0</v>
      </c>
      <c r="AN343" s="37">
        <f t="shared" si="172"/>
        <v>0</v>
      </c>
      <c r="AO343" s="38" t="s">
        <v>1212</v>
      </c>
      <c r="AP343" s="38" t="s">
        <v>1230</v>
      </c>
      <c r="AQ343" s="28" t="s">
        <v>1234</v>
      </c>
      <c r="AS343" s="37">
        <f t="shared" si="173"/>
        <v>0</v>
      </c>
      <c r="AT343" s="37">
        <f t="shared" si="174"/>
        <v>0</v>
      </c>
      <c r="AU343" s="37">
        <v>0</v>
      </c>
      <c r="AV343" s="37">
        <f t="shared" si="175"/>
        <v>0</v>
      </c>
    </row>
    <row r="344" spans="1:48" ht="12.75">
      <c r="A344" s="5" t="s">
        <v>288</v>
      </c>
      <c r="B344" s="5"/>
      <c r="C344" s="5" t="s">
        <v>650</v>
      </c>
      <c r="D344" s="5" t="s">
        <v>1041</v>
      </c>
      <c r="E344" s="5" t="s">
        <v>1157</v>
      </c>
      <c r="F344" s="19">
        <v>12</v>
      </c>
      <c r="G344" s="19">
        <v>0</v>
      </c>
      <c r="H344" s="19">
        <f t="shared" si="154"/>
        <v>0</v>
      </c>
      <c r="I344" s="19">
        <f t="shared" si="155"/>
        <v>0</v>
      </c>
      <c r="J344" s="19">
        <f t="shared" si="156"/>
        <v>0</v>
      </c>
      <c r="K344" s="19">
        <v>0</v>
      </c>
      <c r="L344" s="19">
        <f t="shared" si="157"/>
        <v>0</v>
      </c>
      <c r="M344" s="33" t="s">
        <v>1177</v>
      </c>
      <c r="P344" s="37">
        <f t="shared" si="158"/>
        <v>0</v>
      </c>
      <c r="R344" s="37">
        <f t="shared" si="159"/>
        <v>0</v>
      </c>
      <c r="S344" s="37">
        <f t="shared" si="160"/>
        <v>0</v>
      </c>
      <c r="T344" s="37">
        <f t="shared" si="161"/>
        <v>0</v>
      </c>
      <c r="U344" s="37">
        <f t="shared" si="162"/>
        <v>0</v>
      </c>
      <c r="V344" s="37">
        <f t="shared" si="163"/>
        <v>0</v>
      </c>
      <c r="W344" s="37">
        <f t="shared" si="164"/>
        <v>0</v>
      </c>
      <c r="X344" s="37">
        <f t="shared" si="165"/>
        <v>0</v>
      </c>
      <c r="Y344" s="28"/>
      <c r="Z344" s="19">
        <f t="shared" si="166"/>
        <v>0</v>
      </c>
      <c r="AA344" s="19">
        <f t="shared" si="167"/>
        <v>0</v>
      </c>
      <c r="AB344" s="19">
        <f t="shared" si="168"/>
        <v>0</v>
      </c>
      <c r="AD344" s="37">
        <v>21</v>
      </c>
      <c r="AE344" s="37">
        <f t="shared" si="169"/>
        <v>0</v>
      </c>
      <c r="AF344" s="37">
        <f t="shared" si="170"/>
        <v>0</v>
      </c>
      <c r="AG344" s="33" t="s">
        <v>13</v>
      </c>
      <c r="AM344" s="37">
        <f t="shared" si="171"/>
        <v>0</v>
      </c>
      <c r="AN344" s="37">
        <f t="shared" si="172"/>
        <v>0</v>
      </c>
      <c r="AO344" s="38" t="s">
        <v>1212</v>
      </c>
      <c r="AP344" s="38" t="s">
        <v>1230</v>
      </c>
      <c r="AQ344" s="28" t="s">
        <v>1234</v>
      </c>
      <c r="AS344" s="37">
        <f t="shared" si="173"/>
        <v>0</v>
      </c>
      <c r="AT344" s="37">
        <f t="shared" si="174"/>
        <v>0</v>
      </c>
      <c r="AU344" s="37">
        <v>0</v>
      </c>
      <c r="AV344" s="37">
        <f t="shared" si="175"/>
        <v>0</v>
      </c>
    </row>
    <row r="345" spans="1:48" ht="12.75">
      <c r="A345" s="5" t="s">
        <v>289</v>
      </c>
      <c r="B345" s="5"/>
      <c r="C345" s="5" t="s">
        <v>621</v>
      </c>
      <c r="D345" s="5" t="s">
        <v>1013</v>
      </c>
      <c r="E345" s="5" t="s">
        <v>1157</v>
      </c>
      <c r="F345" s="19">
        <v>1</v>
      </c>
      <c r="G345" s="19">
        <v>0</v>
      </c>
      <c r="H345" s="19">
        <f t="shared" si="154"/>
        <v>0</v>
      </c>
      <c r="I345" s="19">
        <f t="shared" si="155"/>
        <v>0</v>
      </c>
      <c r="J345" s="19">
        <f t="shared" si="156"/>
        <v>0</v>
      </c>
      <c r="K345" s="19">
        <v>0</v>
      </c>
      <c r="L345" s="19">
        <f t="shared" si="157"/>
        <v>0</v>
      </c>
      <c r="M345" s="33" t="s">
        <v>1177</v>
      </c>
      <c r="P345" s="37">
        <f t="shared" si="158"/>
        <v>0</v>
      </c>
      <c r="R345" s="37">
        <f t="shared" si="159"/>
        <v>0</v>
      </c>
      <c r="S345" s="37">
        <f t="shared" si="160"/>
        <v>0</v>
      </c>
      <c r="T345" s="37">
        <f t="shared" si="161"/>
        <v>0</v>
      </c>
      <c r="U345" s="37">
        <f t="shared" si="162"/>
        <v>0</v>
      </c>
      <c r="V345" s="37">
        <f t="shared" si="163"/>
        <v>0</v>
      </c>
      <c r="W345" s="37">
        <f t="shared" si="164"/>
        <v>0</v>
      </c>
      <c r="X345" s="37">
        <f t="shared" si="165"/>
        <v>0</v>
      </c>
      <c r="Y345" s="28"/>
      <c r="Z345" s="19">
        <f t="shared" si="166"/>
        <v>0</v>
      </c>
      <c r="AA345" s="19">
        <f t="shared" si="167"/>
        <v>0</v>
      </c>
      <c r="AB345" s="19">
        <f t="shared" si="168"/>
        <v>0</v>
      </c>
      <c r="AD345" s="37">
        <v>21</v>
      </c>
      <c r="AE345" s="37">
        <f t="shared" si="169"/>
        <v>0</v>
      </c>
      <c r="AF345" s="37">
        <f t="shared" si="170"/>
        <v>0</v>
      </c>
      <c r="AG345" s="33" t="s">
        <v>13</v>
      </c>
      <c r="AM345" s="37">
        <f t="shared" si="171"/>
        <v>0</v>
      </c>
      <c r="AN345" s="37">
        <f t="shared" si="172"/>
        <v>0</v>
      </c>
      <c r="AO345" s="38" t="s">
        <v>1212</v>
      </c>
      <c r="AP345" s="38" t="s">
        <v>1230</v>
      </c>
      <c r="AQ345" s="28" t="s">
        <v>1234</v>
      </c>
      <c r="AS345" s="37">
        <f t="shared" si="173"/>
        <v>0</v>
      </c>
      <c r="AT345" s="37">
        <f t="shared" si="174"/>
        <v>0</v>
      </c>
      <c r="AU345" s="37">
        <v>0</v>
      </c>
      <c r="AV345" s="37">
        <f t="shared" si="175"/>
        <v>0</v>
      </c>
    </row>
    <row r="346" spans="1:48" ht="12.75">
      <c r="A346" s="5" t="s">
        <v>290</v>
      </c>
      <c r="B346" s="5"/>
      <c r="C346" s="5" t="s">
        <v>651</v>
      </c>
      <c r="D346" s="5" t="s">
        <v>1013</v>
      </c>
      <c r="E346" s="5" t="s">
        <v>1157</v>
      </c>
      <c r="F346" s="19">
        <v>1</v>
      </c>
      <c r="G346" s="19">
        <v>0</v>
      </c>
      <c r="H346" s="19">
        <f t="shared" si="154"/>
        <v>0</v>
      </c>
      <c r="I346" s="19">
        <f t="shared" si="155"/>
        <v>0</v>
      </c>
      <c r="J346" s="19">
        <f t="shared" si="156"/>
        <v>0</v>
      </c>
      <c r="K346" s="19">
        <v>0</v>
      </c>
      <c r="L346" s="19">
        <f t="shared" si="157"/>
        <v>0</v>
      </c>
      <c r="M346" s="33" t="s">
        <v>1177</v>
      </c>
      <c r="P346" s="37">
        <f t="shared" si="158"/>
        <v>0</v>
      </c>
      <c r="R346" s="37">
        <f t="shared" si="159"/>
        <v>0</v>
      </c>
      <c r="S346" s="37">
        <f t="shared" si="160"/>
        <v>0</v>
      </c>
      <c r="T346" s="37">
        <f t="shared" si="161"/>
        <v>0</v>
      </c>
      <c r="U346" s="37">
        <f t="shared" si="162"/>
        <v>0</v>
      </c>
      <c r="V346" s="37">
        <f t="shared" si="163"/>
        <v>0</v>
      </c>
      <c r="W346" s="37">
        <f t="shared" si="164"/>
        <v>0</v>
      </c>
      <c r="X346" s="37">
        <f t="shared" si="165"/>
        <v>0</v>
      </c>
      <c r="Y346" s="28"/>
      <c r="Z346" s="19">
        <f t="shared" si="166"/>
        <v>0</v>
      </c>
      <c r="AA346" s="19">
        <f t="shared" si="167"/>
        <v>0</v>
      </c>
      <c r="AB346" s="19">
        <f t="shared" si="168"/>
        <v>0</v>
      </c>
      <c r="AD346" s="37">
        <v>21</v>
      </c>
      <c r="AE346" s="37">
        <f t="shared" si="169"/>
        <v>0</v>
      </c>
      <c r="AF346" s="37">
        <f t="shared" si="170"/>
        <v>0</v>
      </c>
      <c r="AG346" s="33" t="s">
        <v>13</v>
      </c>
      <c r="AM346" s="37">
        <f t="shared" si="171"/>
        <v>0</v>
      </c>
      <c r="AN346" s="37">
        <f t="shared" si="172"/>
        <v>0</v>
      </c>
      <c r="AO346" s="38" t="s">
        <v>1212</v>
      </c>
      <c r="AP346" s="38" t="s">
        <v>1230</v>
      </c>
      <c r="AQ346" s="28" t="s">
        <v>1234</v>
      </c>
      <c r="AS346" s="37">
        <f t="shared" si="173"/>
        <v>0</v>
      </c>
      <c r="AT346" s="37">
        <f t="shared" si="174"/>
        <v>0</v>
      </c>
      <c r="AU346" s="37">
        <v>0</v>
      </c>
      <c r="AV346" s="37">
        <f t="shared" si="175"/>
        <v>0</v>
      </c>
    </row>
    <row r="347" spans="1:48" ht="12.75">
      <c r="A347" s="5" t="s">
        <v>291</v>
      </c>
      <c r="B347" s="5"/>
      <c r="C347" s="5" t="s">
        <v>623</v>
      </c>
      <c r="D347" s="5" t="s">
        <v>1042</v>
      </c>
      <c r="E347" s="5" t="s">
        <v>1153</v>
      </c>
      <c r="F347" s="19">
        <v>1</v>
      </c>
      <c r="G347" s="19">
        <v>0</v>
      </c>
      <c r="H347" s="19">
        <f t="shared" si="154"/>
        <v>0</v>
      </c>
      <c r="I347" s="19">
        <f t="shared" si="155"/>
        <v>0</v>
      </c>
      <c r="J347" s="19">
        <f t="shared" si="156"/>
        <v>0</v>
      </c>
      <c r="K347" s="19">
        <v>0</v>
      </c>
      <c r="L347" s="19">
        <f t="shared" si="157"/>
        <v>0</v>
      </c>
      <c r="M347" s="33" t="s">
        <v>1177</v>
      </c>
      <c r="P347" s="37">
        <f t="shared" si="158"/>
        <v>0</v>
      </c>
      <c r="R347" s="37">
        <f t="shared" si="159"/>
        <v>0</v>
      </c>
      <c r="S347" s="37">
        <f t="shared" si="160"/>
        <v>0</v>
      </c>
      <c r="T347" s="37">
        <f t="shared" si="161"/>
        <v>0</v>
      </c>
      <c r="U347" s="37">
        <f t="shared" si="162"/>
        <v>0</v>
      </c>
      <c r="V347" s="37">
        <f t="shared" si="163"/>
        <v>0</v>
      </c>
      <c r="W347" s="37">
        <f t="shared" si="164"/>
        <v>0</v>
      </c>
      <c r="X347" s="37">
        <f t="shared" si="165"/>
        <v>0</v>
      </c>
      <c r="Y347" s="28"/>
      <c r="Z347" s="19">
        <f t="shared" si="166"/>
        <v>0</v>
      </c>
      <c r="AA347" s="19">
        <f t="shared" si="167"/>
        <v>0</v>
      </c>
      <c r="AB347" s="19">
        <f t="shared" si="168"/>
        <v>0</v>
      </c>
      <c r="AD347" s="37">
        <v>21</v>
      </c>
      <c r="AE347" s="37">
        <f t="shared" si="169"/>
        <v>0</v>
      </c>
      <c r="AF347" s="37">
        <f t="shared" si="170"/>
        <v>0</v>
      </c>
      <c r="AG347" s="33" t="s">
        <v>13</v>
      </c>
      <c r="AM347" s="37">
        <f t="shared" si="171"/>
        <v>0</v>
      </c>
      <c r="AN347" s="37">
        <f t="shared" si="172"/>
        <v>0</v>
      </c>
      <c r="AO347" s="38" t="s">
        <v>1212</v>
      </c>
      <c r="AP347" s="38" t="s">
        <v>1230</v>
      </c>
      <c r="AQ347" s="28" t="s">
        <v>1234</v>
      </c>
      <c r="AS347" s="37">
        <f t="shared" si="173"/>
        <v>0</v>
      </c>
      <c r="AT347" s="37">
        <f t="shared" si="174"/>
        <v>0</v>
      </c>
      <c r="AU347" s="37">
        <v>0</v>
      </c>
      <c r="AV347" s="37">
        <f t="shared" si="175"/>
        <v>0</v>
      </c>
    </row>
    <row r="348" spans="1:48" ht="12.75">
      <c r="A348" s="5" t="s">
        <v>292</v>
      </c>
      <c r="B348" s="5"/>
      <c r="C348" s="5" t="s">
        <v>652</v>
      </c>
      <c r="D348" s="5" t="s">
        <v>1042</v>
      </c>
      <c r="E348" s="5" t="s">
        <v>1157</v>
      </c>
      <c r="F348" s="19">
        <v>1</v>
      </c>
      <c r="G348" s="19">
        <v>0</v>
      </c>
      <c r="H348" s="19">
        <f t="shared" si="154"/>
        <v>0</v>
      </c>
      <c r="I348" s="19">
        <f t="shared" si="155"/>
        <v>0</v>
      </c>
      <c r="J348" s="19">
        <f t="shared" si="156"/>
        <v>0</v>
      </c>
      <c r="K348" s="19">
        <v>0</v>
      </c>
      <c r="L348" s="19">
        <f t="shared" si="157"/>
        <v>0</v>
      </c>
      <c r="M348" s="33" t="s">
        <v>1177</v>
      </c>
      <c r="P348" s="37">
        <f t="shared" si="158"/>
        <v>0</v>
      </c>
      <c r="R348" s="37">
        <f t="shared" si="159"/>
        <v>0</v>
      </c>
      <c r="S348" s="37">
        <f t="shared" si="160"/>
        <v>0</v>
      </c>
      <c r="T348" s="37">
        <f t="shared" si="161"/>
        <v>0</v>
      </c>
      <c r="U348" s="37">
        <f t="shared" si="162"/>
        <v>0</v>
      </c>
      <c r="V348" s="37">
        <f t="shared" si="163"/>
        <v>0</v>
      </c>
      <c r="W348" s="37">
        <f t="shared" si="164"/>
        <v>0</v>
      </c>
      <c r="X348" s="37">
        <f t="shared" si="165"/>
        <v>0</v>
      </c>
      <c r="Y348" s="28"/>
      <c r="Z348" s="19">
        <f t="shared" si="166"/>
        <v>0</v>
      </c>
      <c r="AA348" s="19">
        <f t="shared" si="167"/>
        <v>0</v>
      </c>
      <c r="AB348" s="19">
        <f t="shared" si="168"/>
        <v>0</v>
      </c>
      <c r="AD348" s="37">
        <v>21</v>
      </c>
      <c r="AE348" s="37">
        <f t="shared" si="169"/>
        <v>0</v>
      </c>
      <c r="AF348" s="37">
        <f t="shared" si="170"/>
        <v>0</v>
      </c>
      <c r="AG348" s="33" t="s">
        <v>13</v>
      </c>
      <c r="AM348" s="37">
        <f t="shared" si="171"/>
        <v>0</v>
      </c>
      <c r="AN348" s="37">
        <f t="shared" si="172"/>
        <v>0</v>
      </c>
      <c r="AO348" s="38" t="s">
        <v>1212</v>
      </c>
      <c r="AP348" s="38" t="s">
        <v>1230</v>
      </c>
      <c r="AQ348" s="28" t="s">
        <v>1234</v>
      </c>
      <c r="AS348" s="37">
        <f t="shared" si="173"/>
        <v>0</v>
      </c>
      <c r="AT348" s="37">
        <f t="shared" si="174"/>
        <v>0</v>
      </c>
      <c r="AU348" s="37">
        <v>0</v>
      </c>
      <c r="AV348" s="37">
        <f t="shared" si="175"/>
        <v>0</v>
      </c>
    </row>
    <row r="349" spans="1:48" ht="12.75">
      <c r="A349" s="5" t="s">
        <v>293</v>
      </c>
      <c r="B349" s="5"/>
      <c r="C349" s="5" t="s">
        <v>624</v>
      </c>
      <c r="D349" s="5" t="s">
        <v>1015</v>
      </c>
      <c r="E349" s="5" t="s">
        <v>1153</v>
      </c>
      <c r="F349" s="19">
        <v>1</v>
      </c>
      <c r="G349" s="19">
        <v>0</v>
      </c>
      <c r="H349" s="19">
        <f t="shared" si="154"/>
        <v>0</v>
      </c>
      <c r="I349" s="19">
        <f t="shared" si="155"/>
        <v>0</v>
      </c>
      <c r="J349" s="19">
        <f t="shared" si="156"/>
        <v>0</v>
      </c>
      <c r="K349" s="19">
        <v>0</v>
      </c>
      <c r="L349" s="19">
        <f t="shared" si="157"/>
        <v>0</v>
      </c>
      <c r="M349" s="33" t="s">
        <v>1177</v>
      </c>
      <c r="P349" s="37">
        <f t="shared" si="158"/>
        <v>0</v>
      </c>
      <c r="R349" s="37">
        <f t="shared" si="159"/>
        <v>0</v>
      </c>
      <c r="S349" s="37">
        <f t="shared" si="160"/>
        <v>0</v>
      </c>
      <c r="T349" s="37">
        <f t="shared" si="161"/>
        <v>0</v>
      </c>
      <c r="U349" s="37">
        <f t="shared" si="162"/>
        <v>0</v>
      </c>
      <c r="V349" s="37">
        <f t="shared" si="163"/>
        <v>0</v>
      </c>
      <c r="W349" s="37">
        <f t="shared" si="164"/>
        <v>0</v>
      </c>
      <c r="X349" s="37">
        <f t="shared" si="165"/>
        <v>0</v>
      </c>
      <c r="Y349" s="28"/>
      <c r="Z349" s="19">
        <f t="shared" si="166"/>
        <v>0</v>
      </c>
      <c r="AA349" s="19">
        <f t="shared" si="167"/>
        <v>0</v>
      </c>
      <c r="AB349" s="19">
        <f t="shared" si="168"/>
        <v>0</v>
      </c>
      <c r="AD349" s="37">
        <v>21</v>
      </c>
      <c r="AE349" s="37">
        <f t="shared" si="169"/>
        <v>0</v>
      </c>
      <c r="AF349" s="37">
        <f t="shared" si="170"/>
        <v>0</v>
      </c>
      <c r="AG349" s="33" t="s">
        <v>13</v>
      </c>
      <c r="AM349" s="37">
        <f t="shared" si="171"/>
        <v>0</v>
      </c>
      <c r="AN349" s="37">
        <f t="shared" si="172"/>
        <v>0</v>
      </c>
      <c r="AO349" s="38" t="s">
        <v>1212</v>
      </c>
      <c r="AP349" s="38" t="s">
        <v>1230</v>
      </c>
      <c r="AQ349" s="28" t="s">
        <v>1234</v>
      </c>
      <c r="AS349" s="37">
        <f t="shared" si="173"/>
        <v>0</v>
      </c>
      <c r="AT349" s="37">
        <f t="shared" si="174"/>
        <v>0</v>
      </c>
      <c r="AU349" s="37">
        <v>0</v>
      </c>
      <c r="AV349" s="37">
        <f t="shared" si="175"/>
        <v>0</v>
      </c>
    </row>
    <row r="350" spans="1:48" ht="12.75">
      <c r="A350" s="5" t="s">
        <v>294</v>
      </c>
      <c r="B350" s="5"/>
      <c r="C350" s="5" t="s">
        <v>624</v>
      </c>
      <c r="D350" s="5" t="s">
        <v>1043</v>
      </c>
      <c r="E350" s="5" t="s">
        <v>1155</v>
      </c>
      <c r="F350" s="19">
        <v>1</v>
      </c>
      <c r="G350" s="19">
        <v>0</v>
      </c>
      <c r="H350" s="19">
        <f t="shared" si="154"/>
        <v>0</v>
      </c>
      <c r="I350" s="19">
        <f t="shared" si="155"/>
        <v>0</v>
      </c>
      <c r="J350" s="19">
        <f t="shared" si="156"/>
        <v>0</v>
      </c>
      <c r="K350" s="19">
        <v>0</v>
      </c>
      <c r="L350" s="19">
        <f t="shared" si="157"/>
        <v>0</v>
      </c>
      <c r="M350" s="33" t="s">
        <v>1177</v>
      </c>
      <c r="P350" s="37">
        <f t="shared" si="158"/>
        <v>0</v>
      </c>
      <c r="R350" s="37">
        <f t="shared" si="159"/>
        <v>0</v>
      </c>
      <c r="S350" s="37">
        <f t="shared" si="160"/>
        <v>0</v>
      </c>
      <c r="T350" s="37">
        <f t="shared" si="161"/>
        <v>0</v>
      </c>
      <c r="U350" s="37">
        <f t="shared" si="162"/>
        <v>0</v>
      </c>
      <c r="V350" s="37">
        <f t="shared" si="163"/>
        <v>0</v>
      </c>
      <c r="W350" s="37">
        <f t="shared" si="164"/>
        <v>0</v>
      </c>
      <c r="X350" s="37">
        <f t="shared" si="165"/>
        <v>0</v>
      </c>
      <c r="Y350" s="28"/>
      <c r="Z350" s="19">
        <f t="shared" si="166"/>
        <v>0</v>
      </c>
      <c r="AA350" s="19">
        <f t="shared" si="167"/>
        <v>0</v>
      </c>
      <c r="AB350" s="19">
        <f t="shared" si="168"/>
        <v>0</v>
      </c>
      <c r="AD350" s="37">
        <v>21</v>
      </c>
      <c r="AE350" s="37">
        <f t="shared" si="169"/>
        <v>0</v>
      </c>
      <c r="AF350" s="37">
        <f t="shared" si="170"/>
        <v>0</v>
      </c>
      <c r="AG350" s="33" t="s">
        <v>13</v>
      </c>
      <c r="AM350" s="37">
        <f t="shared" si="171"/>
        <v>0</v>
      </c>
      <c r="AN350" s="37">
        <f t="shared" si="172"/>
        <v>0</v>
      </c>
      <c r="AO350" s="38" t="s">
        <v>1212</v>
      </c>
      <c r="AP350" s="38" t="s">
        <v>1230</v>
      </c>
      <c r="AQ350" s="28" t="s">
        <v>1234</v>
      </c>
      <c r="AS350" s="37">
        <f t="shared" si="173"/>
        <v>0</v>
      </c>
      <c r="AT350" s="37">
        <f t="shared" si="174"/>
        <v>0</v>
      </c>
      <c r="AU350" s="37">
        <v>0</v>
      </c>
      <c r="AV350" s="37">
        <f t="shared" si="175"/>
        <v>0</v>
      </c>
    </row>
    <row r="351" spans="1:48" ht="12.75">
      <c r="A351" s="5" t="s">
        <v>295</v>
      </c>
      <c r="B351" s="5"/>
      <c r="C351" s="5" t="s">
        <v>626</v>
      </c>
      <c r="D351" s="5" t="s">
        <v>1044</v>
      </c>
      <c r="E351" s="5" t="s">
        <v>1153</v>
      </c>
      <c r="F351" s="19">
        <v>4</v>
      </c>
      <c r="G351" s="19">
        <v>0</v>
      </c>
      <c r="H351" s="19">
        <f t="shared" si="154"/>
        <v>0</v>
      </c>
      <c r="I351" s="19">
        <f t="shared" si="155"/>
        <v>0</v>
      </c>
      <c r="J351" s="19">
        <f t="shared" si="156"/>
        <v>0</v>
      </c>
      <c r="K351" s="19">
        <v>0</v>
      </c>
      <c r="L351" s="19">
        <f t="shared" si="157"/>
        <v>0</v>
      </c>
      <c r="M351" s="33" t="s">
        <v>1177</v>
      </c>
      <c r="P351" s="37">
        <f t="shared" si="158"/>
        <v>0</v>
      </c>
      <c r="R351" s="37">
        <f t="shared" si="159"/>
        <v>0</v>
      </c>
      <c r="S351" s="37">
        <f t="shared" si="160"/>
        <v>0</v>
      </c>
      <c r="T351" s="37">
        <f t="shared" si="161"/>
        <v>0</v>
      </c>
      <c r="U351" s="37">
        <f t="shared" si="162"/>
        <v>0</v>
      </c>
      <c r="V351" s="37">
        <f t="shared" si="163"/>
        <v>0</v>
      </c>
      <c r="W351" s="37">
        <f t="shared" si="164"/>
        <v>0</v>
      </c>
      <c r="X351" s="37">
        <f t="shared" si="165"/>
        <v>0</v>
      </c>
      <c r="Y351" s="28"/>
      <c r="Z351" s="19">
        <f t="shared" si="166"/>
        <v>0</v>
      </c>
      <c r="AA351" s="19">
        <f t="shared" si="167"/>
        <v>0</v>
      </c>
      <c r="AB351" s="19">
        <f t="shared" si="168"/>
        <v>0</v>
      </c>
      <c r="AD351" s="37">
        <v>21</v>
      </c>
      <c r="AE351" s="37">
        <f t="shared" si="169"/>
        <v>0</v>
      </c>
      <c r="AF351" s="37">
        <f t="shared" si="170"/>
        <v>0</v>
      </c>
      <c r="AG351" s="33" t="s">
        <v>13</v>
      </c>
      <c r="AM351" s="37">
        <f t="shared" si="171"/>
        <v>0</v>
      </c>
      <c r="AN351" s="37">
        <f t="shared" si="172"/>
        <v>0</v>
      </c>
      <c r="AO351" s="38" t="s">
        <v>1212</v>
      </c>
      <c r="AP351" s="38" t="s">
        <v>1230</v>
      </c>
      <c r="AQ351" s="28" t="s">
        <v>1234</v>
      </c>
      <c r="AS351" s="37">
        <f t="shared" si="173"/>
        <v>0</v>
      </c>
      <c r="AT351" s="37">
        <f t="shared" si="174"/>
        <v>0</v>
      </c>
      <c r="AU351" s="37">
        <v>0</v>
      </c>
      <c r="AV351" s="37">
        <f t="shared" si="175"/>
        <v>0</v>
      </c>
    </row>
    <row r="352" spans="1:48" ht="12.75">
      <c r="A352" s="5" t="s">
        <v>296</v>
      </c>
      <c r="B352" s="5"/>
      <c r="C352" s="5" t="s">
        <v>653</v>
      </c>
      <c r="D352" s="5" t="s">
        <v>1045</v>
      </c>
      <c r="E352" s="5" t="s">
        <v>1155</v>
      </c>
      <c r="F352" s="19">
        <v>11</v>
      </c>
      <c r="G352" s="19">
        <v>0</v>
      </c>
      <c r="H352" s="19">
        <f t="shared" si="154"/>
        <v>0</v>
      </c>
      <c r="I352" s="19">
        <f t="shared" si="155"/>
        <v>0</v>
      </c>
      <c r="J352" s="19">
        <f t="shared" si="156"/>
        <v>0</v>
      </c>
      <c r="K352" s="19">
        <v>0</v>
      </c>
      <c r="L352" s="19">
        <f t="shared" si="157"/>
        <v>0</v>
      </c>
      <c r="M352" s="33" t="s">
        <v>1177</v>
      </c>
      <c r="P352" s="37">
        <f t="shared" si="158"/>
        <v>0</v>
      </c>
      <c r="R352" s="37">
        <f t="shared" si="159"/>
        <v>0</v>
      </c>
      <c r="S352" s="37">
        <f t="shared" si="160"/>
        <v>0</v>
      </c>
      <c r="T352" s="37">
        <f t="shared" si="161"/>
        <v>0</v>
      </c>
      <c r="U352" s="37">
        <f t="shared" si="162"/>
        <v>0</v>
      </c>
      <c r="V352" s="37">
        <f t="shared" si="163"/>
        <v>0</v>
      </c>
      <c r="W352" s="37">
        <f t="shared" si="164"/>
        <v>0</v>
      </c>
      <c r="X352" s="37">
        <f t="shared" si="165"/>
        <v>0</v>
      </c>
      <c r="Y352" s="28"/>
      <c r="Z352" s="19">
        <f t="shared" si="166"/>
        <v>0</v>
      </c>
      <c r="AA352" s="19">
        <f t="shared" si="167"/>
        <v>0</v>
      </c>
      <c r="AB352" s="19">
        <f t="shared" si="168"/>
        <v>0</v>
      </c>
      <c r="AD352" s="37">
        <v>21</v>
      </c>
      <c r="AE352" s="37">
        <f t="shared" si="169"/>
        <v>0</v>
      </c>
      <c r="AF352" s="37">
        <f t="shared" si="170"/>
        <v>0</v>
      </c>
      <c r="AG352" s="33" t="s">
        <v>13</v>
      </c>
      <c r="AM352" s="37">
        <f t="shared" si="171"/>
        <v>0</v>
      </c>
      <c r="AN352" s="37">
        <f t="shared" si="172"/>
        <v>0</v>
      </c>
      <c r="AO352" s="38" t="s">
        <v>1212</v>
      </c>
      <c r="AP352" s="38" t="s">
        <v>1230</v>
      </c>
      <c r="AQ352" s="28" t="s">
        <v>1234</v>
      </c>
      <c r="AS352" s="37">
        <f t="shared" si="173"/>
        <v>0</v>
      </c>
      <c r="AT352" s="37">
        <f t="shared" si="174"/>
        <v>0</v>
      </c>
      <c r="AU352" s="37">
        <v>0</v>
      </c>
      <c r="AV352" s="37">
        <f t="shared" si="175"/>
        <v>0</v>
      </c>
    </row>
    <row r="353" spans="1:48" ht="12.75">
      <c r="A353" s="5" t="s">
        <v>297</v>
      </c>
      <c r="B353" s="5"/>
      <c r="C353" s="5" t="s">
        <v>654</v>
      </c>
      <c r="D353" s="5" t="s">
        <v>1046</v>
      </c>
      <c r="E353" s="5" t="s">
        <v>1152</v>
      </c>
      <c r="F353" s="19">
        <v>0.75</v>
      </c>
      <c r="G353" s="19">
        <v>0</v>
      </c>
      <c r="H353" s="19">
        <f t="shared" si="154"/>
        <v>0</v>
      </c>
      <c r="I353" s="19">
        <f t="shared" si="155"/>
        <v>0</v>
      </c>
      <c r="J353" s="19">
        <f t="shared" si="156"/>
        <v>0</v>
      </c>
      <c r="K353" s="19">
        <v>0</v>
      </c>
      <c r="L353" s="19">
        <f t="shared" si="157"/>
        <v>0</v>
      </c>
      <c r="M353" s="33" t="s">
        <v>1177</v>
      </c>
      <c r="P353" s="37">
        <f t="shared" si="158"/>
        <v>0</v>
      </c>
      <c r="R353" s="37">
        <f t="shared" si="159"/>
        <v>0</v>
      </c>
      <c r="S353" s="37">
        <f t="shared" si="160"/>
        <v>0</v>
      </c>
      <c r="T353" s="37">
        <f t="shared" si="161"/>
        <v>0</v>
      </c>
      <c r="U353" s="37">
        <f t="shared" si="162"/>
        <v>0</v>
      </c>
      <c r="V353" s="37">
        <f t="shared" si="163"/>
        <v>0</v>
      </c>
      <c r="W353" s="37">
        <f t="shared" si="164"/>
        <v>0</v>
      </c>
      <c r="X353" s="37">
        <f t="shared" si="165"/>
        <v>0</v>
      </c>
      <c r="Y353" s="28"/>
      <c r="Z353" s="19">
        <f t="shared" si="166"/>
        <v>0</v>
      </c>
      <c r="AA353" s="19">
        <f t="shared" si="167"/>
        <v>0</v>
      </c>
      <c r="AB353" s="19">
        <f t="shared" si="168"/>
        <v>0</v>
      </c>
      <c r="AD353" s="37">
        <v>21</v>
      </c>
      <c r="AE353" s="37">
        <f t="shared" si="169"/>
        <v>0</v>
      </c>
      <c r="AF353" s="37">
        <f t="shared" si="170"/>
        <v>0</v>
      </c>
      <c r="AG353" s="33" t="s">
        <v>13</v>
      </c>
      <c r="AM353" s="37">
        <f t="shared" si="171"/>
        <v>0</v>
      </c>
      <c r="AN353" s="37">
        <f t="shared" si="172"/>
        <v>0</v>
      </c>
      <c r="AO353" s="38" t="s">
        <v>1212</v>
      </c>
      <c r="AP353" s="38" t="s">
        <v>1230</v>
      </c>
      <c r="AQ353" s="28" t="s">
        <v>1234</v>
      </c>
      <c r="AS353" s="37">
        <f t="shared" si="173"/>
        <v>0</v>
      </c>
      <c r="AT353" s="37">
        <f t="shared" si="174"/>
        <v>0</v>
      </c>
      <c r="AU353" s="37">
        <v>0</v>
      </c>
      <c r="AV353" s="37">
        <f t="shared" si="175"/>
        <v>0</v>
      </c>
    </row>
    <row r="354" spans="1:48" ht="12.75">
      <c r="A354" s="5" t="s">
        <v>298</v>
      </c>
      <c r="B354" s="5"/>
      <c r="C354" s="5" t="s">
        <v>628</v>
      </c>
      <c r="D354" s="5" t="s">
        <v>1047</v>
      </c>
      <c r="E354" s="5" t="s">
        <v>1155</v>
      </c>
      <c r="F354" s="19">
        <v>4</v>
      </c>
      <c r="G354" s="19">
        <v>0</v>
      </c>
      <c r="H354" s="19">
        <f t="shared" si="154"/>
        <v>0</v>
      </c>
      <c r="I354" s="19">
        <f t="shared" si="155"/>
        <v>0</v>
      </c>
      <c r="J354" s="19">
        <f t="shared" si="156"/>
        <v>0</v>
      </c>
      <c r="K354" s="19">
        <v>0</v>
      </c>
      <c r="L354" s="19">
        <f t="shared" si="157"/>
        <v>0</v>
      </c>
      <c r="M354" s="33" t="s">
        <v>1177</v>
      </c>
      <c r="P354" s="37">
        <f t="shared" si="158"/>
        <v>0</v>
      </c>
      <c r="R354" s="37">
        <f t="shared" si="159"/>
        <v>0</v>
      </c>
      <c r="S354" s="37">
        <f t="shared" si="160"/>
        <v>0</v>
      </c>
      <c r="T354" s="37">
        <f t="shared" si="161"/>
        <v>0</v>
      </c>
      <c r="U354" s="37">
        <f t="shared" si="162"/>
        <v>0</v>
      </c>
      <c r="V354" s="37">
        <f t="shared" si="163"/>
        <v>0</v>
      </c>
      <c r="W354" s="37">
        <f t="shared" si="164"/>
        <v>0</v>
      </c>
      <c r="X354" s="37">
        <f t="shared" si="165"/>
        <v>0</v>
      </c>
      <c r="Y354" s="28"/>
      <c r="Z354" s="19">
        <f t="shared" si="166"/>
        <v>0</v>
      </c>
      <c r="AA354" s="19">
        <f t="shared" si="167"/>
        <v>0</v>
      </c>
      <c r="AB354" s="19">
        <f t="shared" si="168"/>
        <v>0</v>
      </c>
      <c r="AD354" s="37">
        <v>21</v>
      </c>
      <c r="AE354" s="37">
        <f t="shared" si="169"/>
        <v>0</v>
      </c>
      <c r="AF354" s="37">
        <f t="shared" si="170"/>
        <v>0</v>
      </c>
      <c r="AG354" s="33" t="s">
        <v>13</v>
      </c>
      <c r="AM354" s="37">
        <f t="shared" si="171"/>
        <v>0</v>
      </c>
      <c r="AN354" s="37">
        <f t="shared" si="172"/>
        <v>0</v>
      </c>
      <c r="AO354" s="38" t="s">
        <v>1212</v>
      </c>
      <c r="AP354" s="38" t="s">
        <v>1230</v>
      </c>
      <c r="AQ354" s="28" t="s">
        <v>1234</v>
      </c>
      <c r="AS354" s="37">
        <f t="shared" si="173"/>
        <v>0</v>
      </c>
      <c r="AT354" s="37">
        <f t="shared" si="174"/>
        <v>0</v>
      </c>
      <c r="AU354" s="37">
        <v>0</v>
      </c>
      <c r="AV354" s="37">
        <f t="shared" si="175"/>
        <v>0</v>
      </c>
    </row>
    <row r="355" spans="1:48" ht="12.75">
      <c r="A355" s="5" t="s">
        <v>299</v>
      </c>
      <c r="B355" s="5"/>
      <c r="C355" s="5" t="s">
        <v>655</v>
      </c>
      <c r="D355" s="5" t="s">
        <v>1048</v>
      </c>
      <c r="E355" s="5" t="s">
        <v>1157</v>
      </c>
      <c r="F355" s="19">
        <v>4</v>
      </c>
      <c r="G355" s="19">
        <v>0</v>
      </c>
      <c r="H355" s="19">
        <f t="shared" si="154"/>
        <v>0</v>
      </c>
      <c r="I355" s="19">
        <f t="shared" si="155"/>
        <v>0</v>
      </c>
      <c r="J355" s="19">
        <f t="shared" si="156"/>
        <v>0</v>
      </c>
      <c r="K355" s="19">
        <v>0</v>
      </c>
      <c r="L355" s="19">
        <f t="shared" si="157"/>
        <v>0</v>
      </c>
      <c r="M355" s="33" t="s">
        <v>1177</v>
      </c>
      <c r="P355" s="37">
        <f t="shared" si="158"/>
        <v>0</v>
      </c>
      <c r="R355" s="37">
        <f t="shared" si="159"/>
        <v>0</v>
      </c>
      <c r="S355" s="37">
        <f t="shared" si="160"/>
        <v>0</v>
      </c>
      <c r="T355" s="37">
        <f t="shared" si="161"/>
        <v>0</v>
      </c>
      <c r="U355" s="37">
        <f t="shared" si="162"/>
        <v>0</v>
      </c>
      <c r="V355" s="37">
        <f t="shared" si="163"/>
        <v>0</v>
      </c>
      <c r="W355" s="37">
        <f t="shared" si="164"/>
        <v>0</v>
      </c>
      <c r="X355" s="37">
        <f t="shared" si="165"/>
        <v>0</v>
      </c>
      <c r="Y355" s="28"/>
      <c r="Z355" s="19">
        <f t="shared" si="166"/>
        <v>0</v>
      </c>
      <c r="AA355" s="19">
        <f t="shared" si="167"/>
        <v>0</v>
      </c>
      <c r="AB355" s="19">
        <f t="shared" si="168"/>
        <v>0</v>
      </c>
      <c r="AD355" s="37">
        <v>21</v>
      </c>
      <c r="AE355" s="37">
        <f t="shared" si="169"/>
        <v>0</v>
      </c>
      <c r="AF355" s="37">
        <f t="shared" si="170"/>
        <v>0</v>
      </c>
      <c r="AG355" s="33" t="s">
        <v>13</v>
      </c>
      <c r="AM355" s="37">
        <f t="shared" si="171"/>
        <v>0</v>
      </c>
      <c r="AN355" s="37">
        <f t="shared" si="172"/>
        <v>0</v>
      </c>
      <c r="AO355" s="38" t="s">
        <v>1212</v>
      </c>
      <c r="AP355" s="38" t="s">
        <v>1230</v>
      </c>
      <c r="AQ355" s="28" t="s">
        <v>1234</v>
      </c>
      <c r="AS355" s="37">
        <f t="shared" si="173"/>
        <v>0</v>
      </c>
      <c r="AT355" s="37">
        <f t="shared" si="174"/>
        <v>0</v>
      </c>
      <c r="AU355" s="37">
        <v>0</v>
      </c>
      <c r="AV355" s="37">
        <f t="shared" si="175"/>
        <v>0</v>
      </c>
    </row>
    <row r="356" spans="1:37" ht="12.75">
      <c r="A356" s="6"/>
      <c r="B356" s="14"/>
      <c r="C356" s="14" t="s">
        <v>656</v>
      </c>
      <c r="D356" s="14" t="s">
        <v>1049</v>
      </c>
      <c r="E356" s="6" t="s">
        <v>6</v>
      </c>
      <c r="F356" s="6" t="s">
        <v>6</v>
      </c>
      <c r="G356" s="6" t="s">
        <v>6</v>
      </c>
      <c r="H356" s="40">
        <f>SUM(H357:H381)</f>
        <v>0</v>
      </c>
      <c r="I356" s="40">
        <f>SUM(I357:I381)</f>
        <v>0</v>
      </c>
      <c r="J356" s="40">
        <f>H356+I356</f>
        <v>0</v>
      </c>
      <c r="K356" s="28"/>
      <c r="L356" s="40">
        <f>SUM(L357:L381)</f>
        <v>9.5308061448</v>
      </c>
      <c r="M356" s="28"/>
      <c r="Y356" s="28"/>
      <c r="AI356" s="40">
        <f>SUM(Z357:Z381)</f>
        <v>0</v>
      </c>
      <c r="AJ356" s="40">
        <f>SUM(AA357:AA381)</f>
        <v>0</v>
      </c>
      <c r="AK356" s="40">
        <f>SUM(AB357:AB381)</f>
        <v>0</v>
      </c>
    </row>
    <row r="357" spans="1:48" ht="12.75">
      <c r="A357" s="5" t="s">
        <v>300</v>
      </c>
      <c r="B357" s="5"/>
      <c r="C357" s="5" t="s">
        <v>657</v>
      </c>
      <c r="D357" s="5" t="s">
        <v>1050</v>
      </c>
      <c r="E357" s="5" t="s">
        <v>1151</v>
      </c>
      <c r="F357" s="19">
        <v>27.9051</v>
      </c>
      <c r="G357" s="19">
        <v>0</v>
      </c>
      <c r="H357" s="19">
        <f>F357*AE357</f>
        <v>0</v>
      </c>
      <c r="I357" s="19">
        <f>J357-H357</f>
        <v>0</v>
      </c>
      <c r="J357" s="19">
        <f>F357*G357</f>
        <v>0</v>
      </c>
      <c r="K357" s="19">
        <v>0.01468</v>
      </c>
      <c r="L357" s="19">
        <f>F357*K357</f>
        <v>0.409646868</v>
      </c>
      <c r="M357" s="33" t="s">
        <v>1177</v>
      </c>
      <c r="P357" s="37">
        <f>IF(AG357="5",J357,0)</f>
        <v>0</v>
      </c>
      <c r="R357" s="37">
        <f>IF(AG357="1",H357,0)</f>
        <v>0</v>
      </c>
      <c r="S357" s="37">
        <f>IF(AG357="1",I357,0)</f>
        <v>0</v>
      </c>
      <c r="T357" s="37">
        <f>IF(AG357="7",H357,0)</f>
        <v>0</v>
      </c>
      <c r="U357" s="37">
        <f>IF(AG357="7",I357,0)</f>
        <v>0</v>
      </c>
      <c r="V357" s="37">
        <f>IF(AG357="2",H357,0)</f>
        <v>0</v>
      </c>
      <c r="W357" s="37">
        <f>IF(AG357="2",I357,0)</f>
        <v>0</v>
      </c>
      <c r="X357" s="37">
        <f>IF(AG357="0",J357,0)</f>
        <v>0</v>
      </c>
      <c r="Y357" s="28"/>
      <c r="Z357" s="19">
        <f>IF(AD357=0,J357,0)</f>
        <v>0</v>
      </c>
      <c r="AA357" s="19">
        <f>IF(AD357=15,J357,0)</f>
        <v>0</v>
      </c>
      <c r="AB357" s="19">
        <f>IF(AD357=21,J357,0)</f>
        <v>0</v>
      </c>
      <c r="AD357" s="37">
        <v>21</v>
      </c>
      <c r="AE357" s="37">
        <f>G357*0.793910571044725</f>
        <v>0</v>
      </c>
      <c r="AF357" s="37">
        <f>G357*(1-0.793910571044725)</f>
        <v>0</v>
      </c>
      <c r="AG357" s="33" t="s">
        <v>13</v>
      </c>
      <c r="AM357" s="37">
        <f>F357*AE357</f>
        <v>0</v>
      </c>
      <c r="AN357" s="37">
        <f>F357*AF357</f>
        <v>0</v>
      </c>
      <c r="AO357" s="38" t="s">
        <v>1213</v>
      </c>
      <c r="AP357" s="38" t="s">
        <v>1231</v>
      </c>
      <c r="AQ357" s="28" t="s">
        <v>1234</v>
      </c>
      <c r="AS357" s="37">
        <f>AM357+AN357</f>
        <v>0</v>
      </c>
      <c r="AT357" s="37">
        <f>G357/(100-AU357)*100</f>
        <v>0</v>
      </c>
      <c r="AU357" s="37">
        <v>0</v>
      </c>
      <c r="AV357" s="37">
        <f>L357</f>
        <v>0.409646868</v>
      </c>
    </row>
    <row r="358" ht="12.75">
      <c r="D358" s="16" t="s">
        <v>1051</v>
      </c>
    </row>
    <row r="359" spans="1:48" ht="12.75">
      <c r="A359" s="5" t="s">
        <v>301</v>
      </c>
      <c r="B359" s="5"/>
      <c r="C359" s="5" t="s">
        <v>658</v>
      </c>
      <c r="D359" s="5" t="s">
        <v>1052</v>
      </c>
      <c r="E359" s="5" t="s">
        <v>1150</v>
      </c>
      <c r="F359" s="19">
        <v>0.6697</v>
      </c>
      <c r="G359" s="19">
        <v>0</v>
      </c>
      <c r="H359" s="19">
        <f>F359*AE359</f>
        <v>0</v>
      </c>
      <c r="I359" s="19">
        <f>J359-H359</f>
        <v>0</v>
      </c>
      <c r="J359" s="19">
        <f>F359*G359</f>
        <v>0</v>
      </c>
      <c r="K359" s="19">
        <v>0.01549</v>
      </c>
      <c r="L359" s="19">
        <f>F359*K359</f>
        <v>0.010373653</v>
      </c>
      <c r="M359" s="33" t="s">
        <v>1177</v>
      </c>
      <c r="P359" s="37">
        <f>IF(AG359="5",J359,0)</f>
        <v>0</v>
      </c>
      <c r="R359" s="37">
        <f>IF(AG359="1",H359,0)</f>
        <v>0</v>
      </c>
      <c r="S359" s="37">
        <f>IF(AG359="1",I359,0)</f>
        <v>0</v>
      </c>
      <c r="T359" s="37">
        <f>IF(AG359="7",H359,0)</f>
        <v>0</v>
      </c>
      <c r="U359" s="37">
        <f>IF(AG359="7",I359,0)</f>
        <v>0</v>
      </c>
      <c r="V359" s="37">
        <f>IF(AG359="2",H359,0)</f>
        <v>0</v>
      </c>
      <c r="W359" s="37">
        <f>IF(AG359="2",I359,0)</f>
        <v>0</v>
      </c>
      <c r="X359" s="37">
        <f>IF(AG359="0",J359,0)</f>
        <v>0</v>
      </c>
      <c r="Y359" s="28"/>
      <c r="Z359" s="19">
        <f>IF(AD359=0,J359,0)</f>
        <v>0</v>
      </c>
      <c r="AA359" s="19">
        <f>IF(AD359=15,J359,0)</f>
        <v>0</v>
      </c>
      <c r="AB359" s="19">
        <f>IF(AD359=21,J359,0)</f>
        <v>0</v>
      </c>
      <c r="AD359" s="37">
        <v>21</v>
      </c>
      <c r="AE359" s="37">
        <f>G359*1.00000028015128</f>
        <v>0</v>
      </c>
      <c r="AF359" s="37">
        <f>G359*(1-1.00000028015128)</f>
        <v>0</v>
      </c>
      <c r="AG359" s="33" t="s">
        <v>13</v>
      </c>
      <c r="AM359" s="37">
        <f>F359*AE359</f>
        <v>0</v>
      </c>
      <c r="AN359" s="37">
        <f>F359*AF359</f>
        <v>0</v>
      </c>
      <c r="AO359" s="38" t="s">
        <v>1213</v>
      </c>
      <c r="AP359" s="38" t="s">
        <v>1231</v>
      </c>
      <c r="AQ359" s="28" t="s">
        <v>1234</v>
      </c>
      <c r="AS359" s="37">
        <f>AM359+AN359</f>
        <v>0</v>
      </c>
      <c r="AT359" s="37">
        <f>G359/(100-AU359)*100</f>
        <v>0</v>
      </c>
      <c r="AU359" s="37">
        <v>0</v>
      </c>
      <c r="AV359" s="37">
        <f>L359</f>
        <v>0.010373653</v>
      </c>
    </row>
    <row r="360" spans="1:48" ht="12.75">
      <c r="A360" s="5" t="s">
        <v>302</v>
      </c>
      <c r="B360" s="5"/>
      <c r="C360" s="5" t="s">
        <v>659</v>
      </c>
      <c r="D360" s="5" t="s">
        <v>1053</v>
      </c>
      <c r="E360" s="5" t="s">
        <v>1153</v>
      </c>
      <c r="F360" s="19">
        <v>13</v>
      </c>
      <c r="G360" s="19">
        <v>0</v>
      </c>
      <c r="H360" s="19">
        <f>F360*AE360</f>
        <v>0</v>
      </c>
      <c r="I360" s="19">
        <f>J360-H360</f>
        <v>0</v>
      </c>
      <c r="J360" s="19">
        <f>F360*G360</f>
        <v>0</v>
      </c>
      <c r="K360" s="19">
        <v>0.00332</v>
      </c>
      <c r="L360" s="19">
        <f>F360*K360</f>
        <v>0.043160000000000004</v>
      </c>
      <c r="M360" s="33" t="s">
        <v>1177</v>
      </c>
      <c r="P360" s="37">
        <f>IF(AG360="5",J360,0)</f>
        <v>0</v>
      </c>
      <c r="R360" s="37">
        <f>IF(AG360="1",H360,0)</f>
        <v>0</v>
      </c>
      <c r="S360" s="37">
        <f>IF(AG360="1",I360,0)</f>
        <v>0</v>
      </c>
      <c r="T360" s="37">
        <f>IF(AG360="7",H360,0)</f>
        <v>0</v>
      </c>
      <c r="U360" s="37">
        <f>IF(AG360="7",I360,0)</f>
        <v>0</v>
      </c>
      <c r="V360" s="37">
        <f>IF(AG360="2",H360,0)</f>
        <v>0</v>
      </c>
      <c r="W360" s="37">
        <f>IF(AG360="2",I360,0)</f>
        <v>0</v>
      </c>
      <c r="X360" s="37">
        <f>IF(AG360="0",J360,0)</f>
        <v>0</v>
      </c>
      <c r="Y360" s="28"/>
      <c r="Z360" s="19">
        <f>IF(AD360=0,J360,0)</f>
        <v>0</v>
      </c>
      <c r="AA360" s="19">
        <f>IF(AD360=15,J360,0)</f>
        <v>0</v>
      </c>
      <c r="AB360" s="19">
        <f>IF(AD360=21,J360,0)</f>
        <v>0</v>
      </c>
      <c r="AD360" s="37">
        <v>21</v>
      </c>
      <c r="AE360" s="37">
        <f>G360*0.0509433962264151</f>
        <v>0</v>
      </c>
      <c r="AF360" s="37">
        <f>G360*(1-0.0509433962264151)</f>
        <v>0</v>
      </c>
      <c r="AG360" s="33" t="s">
        <v>13</v>
      </c>
      <c r="AM360" s="37">
        <f>F360*AE360</f>
        <v>0</v>
      </c>
      <c r="AN360" s="37">
        <f>F360*AF360</f>
        <v>0</v>
      </c>
      <c r="AO360" s="38" t="s">
        <v>1213</v>
      </c>
      <c r="AP360" s="38" t="s">
        <v>1231</v>
      </c>
      <c r="AQ360" s="28" t="s">
        <v>1234</v>
      </c>
      <c r="AS360" s="37">
        <f>AM360+AN360</f>
        <v>0</v>
      </c>
      <c r="AT360" s="37">
        <f>G360/(100-AU360)*100</f>
        <v>0</v>
      </c>
      <c r="AU360" s="37">
        <v>0</v>
      </c>
      <c r="AV360" s="37">
        <f>L360</f>
        <v>0.043160000000000004</v>
      </c>
    </row>
    <row r="361" ht="12.75">
      <c r="D361" s="16" t="s">
        <v>1054</v>
      </c>
    </row>
    <row r="362" spans="1:48" ht="12.75">
      <c r="A362" s="5" t="s">
        <v>303</v>
      </c>
      <c r="B362" s="5"/>
      <c r="C362" s="5" t="s">
        <v>660</v>
      </c>
      <c r="D362" s="5" t="s">
        <v>1055</v>
      </c>
      <c r="E362" s="5" t="s">
        <v>1154</v>
      </c>
      <c r="F362" s="19">
        <v>76</v>
      </c>
      <c r="G362" s="19">
        <v>0</v>
      </c>
      <c r="H362" s="19">
        <f>F362*AE362</f>
        <v>0</v>
      </c>
      <c r="I362" s="19">
        <f>J362-H362</f>
        <v>0</v>
      </c>
      <c r="J362" s="19">
        <f>F362*G362</f>
        <v>0</v>
      </c>
      <c r="K362" s="19">
        <v>0.001</v>
      </c>
      <c r="L362" s="19">
        <f>F362*K362</f>
        <v>0.076</v>
      </c>
      <c r="M362" s="33" t="s">
        <v>1177</v>
      </c>
      <c r="P362" s="37">
        <f>IF(AG362="5",J362,0)</f>
        <v>0</v>
      </c>
      <c r="R362" s="37">
        <f>IF(AG362="1",H362,0)</f>
        <v>0</v>
      </c>
      <c r="S362" s="37">
        <f>IF(AG362="1",I362,0)</f>
        <v>0</v>
      </c>
      <c r="T362" s="37">
        <f>IF(AG362="7",H362,0)</f>
        <v>0</v>
      </c>
      <c r="U362" s="37">
        <f>IF(AG362="7",I362,0)</f>
        <v>0</v>
      </c>
      <c r="V362" s="37">
        <f>IF(AG362="2",H362,0)</f>
        <v>0</v>
      </c>
      <c r="W362" s="37">
        <f>IF(AG362="2",I362,0)</f>
        <v>0</v>
      </c>
      <c r="X362" s="37">
        <f>IF(AG362="0",J362,0)</f>
        <v>0</v>
      </c>
      <c r="Y362" s="28"/>
      <c r="Z362" s="19">
        <f>IF(AD362=0,J362,0)</f>
        <v>0</v>
      </c>
      <c r="AA362" s="19">
        <f>IF(AD362=15,J362,0)</f>
        <v>0</v>
      </c>
      <c r="AB362" s="19">
        <f>IF(AD362=21,J362,0)</f>
        <v>0</v>
      </c>
      <c r="AD362" s="37">
        <v>21</v>
      </c>
      <c r="AE362" s="37">
        <f>G362*0.74</f>
        <v>0</v>
      </c>
      <c r="AF362" s="37">
        <f>G362*(1-0.74)</f>
        <v>0</v>
      </c>
      <c r="AG362" s="33" t="s">
        <v>13</v>
      </c>
      <c r="AM362" s="37">
        <f>F362*AE362</f>
        <v>0</v>
      </c>
      <c r="AN362" s="37">
        <f>F362*AF362</f>
        <v>0</v>
      </c>
      <c r="AO362" s="38" t="s">
        <v>1213</v>
      </c>
      <c r="AP362" s="38" t="s">
        <v>1231</v>
      </c>
      <c r="AQ362" s="28" t="s">
        <v>1234</v>
      </c>
      <c r="AS362" s="37">
        <f>AM362+AN362</f>
        <v>0</v>
      </c>
      <c r="AT362" s="37">
        <f>G362/(100-AU362)*100</f>
        <v>0</v>
      </c>
      <c r="AU362" s="37">
        <v>0</v>
      </c>
      <c r="AV362" s="37">
        <f>L362</f>
        <v>0.076</v>
      </c>
    </row>
    <row r="363" ht="12.75">
      <c r="D363" s="16" t="s">
        <v>1056</v>
      </c>
    </row>
    <row r="364" spans="1:48" ht="12.75">
      <c r="A364" s="5" t="s">
        <v>304</v>
      </c>
      <c r="B364" s="5"/>
      <c r="C364" s="5" t="s">
        <v>661</v>
      </c>
      <c r="D364" s="5" t="s">
        <v>1057</v>
      </c>
      <c r="E364" s="5" t="s">
        <v>1154</v>
      </c>
      <c r="F364" s="19">
        <v>324.3</v>
      </c>
      <c r="G364" s="19">
        <v>0</v>
      </c>
      <c r="H364" s="19">
        <f aca="true" t="shared" si="176" ref="H364:H375">F364*AE364</f>
        <v>0</v>
      </c>
      <c r="I364" s="19">
        <f aca="true" t="shared" si="177" ref="I364:I375">J364-H364</f>
        <v>0</v>
      </c>
      <c r="J364" s="19">
        <f aca="true" t="shared" si="178" ref="J364:J375">F364*G364</f>
        <v>0</v>
      </c>
      <c r="K364" s="19">
        <v>0.00099</v>
      </c>
      <c r="L364" s="19">
        <f aca="true" t="shared" si="179" ref="L364:L375">F364*K364</f>
        <v>0.32105700000000004</v>
      </c>
      <c r="M364" s="33" t="s">
        <v>1177</v>
      </c>
      <c r="P364" s="37">
        <f aca="true" t="shared" si="180" ref="P364:P375">IF(AG364="5",J364,0)</f>
        <v>0</v>
      </c>
      <c r="R364" s="37">
        <f aca="true" t="shared" si="181" ref="R364:R375">IF(AG364="1",H364,0)</f>
        <v>0</v>
      </c>
      <c r="S364" s="37">
        <f aca="true" t="shared" si="182" ref="S364:S375">IF(AG364="1",I364,0)</f>
        <v>0</v>
      </c>
      <c r="T364" s="37">
        <f aca="true" t="shared" si="183" ref="T364:T375">IF(AG364="7",H364,0)</f>
        <v>0</v>
      </c>
      <c r="U364" s="37">
        <f aca="true" t="shared" si="184" ref="U364:U375">IF(AG364="7",I364,0)</f>
        <v>0</v>
      </c>
      <c r="V364" s="37">
        <f aca="true" t="shared" si="185" ref="V364:V375">IF(AG364="2",H364,0)</f>
        <v>0</v>
      </c>
      <c r="W364" s="37">
        <f aca="true" t="shared" si="186" ref="W364:W375">IF(AG364="2",I364,0)</f>
        <v>0</v>
      </c>
      <c r="X364" s="37">
        <f aca="true" t="shared" si="187" ref="X364:X375">IF(AG364="0",J364,0)</f>
        <v>0</v>
      </c>
      <c r="Y364" s="28"/>
      <c r="Z364" s="19">
        <f aca="true" t="shared" si="188" ref="Z364:Z375">IF(AD364=0,J364,0)</f>
        <v>0</v>
      </c>
      <c r="AA364" s="19">
        <f aca="true" t="shared" si="189" ref="AA364:AA375">IF(AD364=15,J364,0)</f>
        <v>0</v>
      </c>
      <c r="AB364" s="19">
        <f aca="true" t="shared" si="190" ref="AB364:AB375">IF(AD364=21,J364,0)</f>
        <v>0</v>
      </c>
      <c r="AD364" s="37">
        <v>21</v>
      </c>
      <c r="AE364" s="37">
        <f>G364*0.0312592592592593</f>
        <v>0</v>
      </c>
      <c r="AF364" s="37">
        <f>G364*(1-0.0312592592592593)</f>
        <v>0</v>
      </c>
      <c r="AG364" s="33" t="s">
        <v>13</v>
      </c>
      <c r="AM364" s="37">
        <f aca="true" t="shared" si="191" ref="AM364:AM375">F364*AE364</f>
        <v>0</v>
      </c>
      <c r="AN364" s="37">
        <f aca="true" t="shared" si="192" ref="AN364:AN375">F364*AF364</f>
        <v>0</v>
      </c>
      <c r="AO364" s="38" t="s">
        <v>1213</v>
      </c>
      <c r="AP364" s="38" t="s">
        <v>1231</v>
      </c>
      <c r="AQ364" s="28" t="s">
        <v>1234</v>
      </c>
      <c r="AS364" s="37">
        <f aca="true" t="shared" si="193" ref="AS364:AS375">AM364+AN364</f>
        <v>0</v>
      </c>
      <c r="AT364" s="37">
        <f aca="true" t="shared" si="194" ref="AT364:AT375">G364/(100-AU364)*100</f>
        <v>0</v>
      </c>
      <c r="AU364" s="37">
        <v>0</v>
      </c>
      <c r="AV364" s="37">
        <f aca="true" t="shared" si="195" ref="AV364:AV375">L364</f>
        <v>0.32105700000000004</v>
      </c>
    </row>
    <row r="365" spans="1:48" ht="12.75">
      <c r="A365" s="7" t="s">
        <v>305</v>
      </c>
      <c r="B365" s="7"/>
      <c r="C365" s="7" t="s">
        <v>662</v>
      </c>
      <c r="D365" s="7" t="s">
        <v>1058</v>
      </c>
      <c r="E365" s="7" t="s">
        <v>1150</v>
      </c>
      <c r="F365" s="20">
        <v>0.58733</v>
      </c>
      <c r="G365" s="20">
        <v>0</v>
      </c>
      <c r="H365" s="20">
        <f t="shared" si="176"/>
        <v>0</v>
      </c>
      <c r="I365" s="20">
        <f t="shared" si="177"/>
        <v>0</v>
      </c>
      <c r="J365" s="20">
        <f t="shared" si="178"/>
        <v>0</v>
      </c>
      <c r="K365" s="20">
        <v>0.55</v>
      </c>
      <c r="L365" s="20">
        <f t="shared" si="179"/>
        <v>0.3230315</v>
      </c>
      <c r="M365" s="34" t="s">
        <v>1177</v>
      </c>
      <c r="P365" s="37">
        <f t="shared" si="180"/>
        <v>0</v>
      </c>
      <c r="R365" s="37">
        <f t="shared" si="181"/>
        <v>0</v>
      </c>
      <c r="S365" s="37">
        <f t="shared" si="182"/>
        <v>0</v>
      </c>
      <c r="T365" s="37">
        <f t="shared" si="183"/>
        <v>0</v>
      </c>
      <c r="U365" s="37">
        <f t="shared" si="184"/>
        <v>0</v>
      </c>
      <c r="V365" s="37">
        <f t="shared" si="185"/>
        <v>0</v>
      </c>
      <c r="W365" s="37">
        <f t="shared" si="186"/>
        <v>0</v>
      </c>
      <c r="X365" s="37">
        <f t="shared" si="187"/>
        <v>0</v>
      </c>
      <c r="Y365" s="28"/>
      <c r="Z365" s="20">
        <f t="shared" si="188"/>
        <v>0</v>
      </c>
      <c r="AA365" s="20">
        <f t="shared" si="189"/>
        <v>0</v>
      </c>
      <c r="AB365" s="20">
        <f t="shared" si="190"/>
        <v>0</v>
      </c>
      <c r="AD365" s="37">
        <v>21</v>
      </c>
      <c r="AE365" s="37">
        <f>G365*1</f>
        <v>0</v>
      </c>
      <c r="AF365" s="37">
        <f>G365*(1-1)</f>
        <v>0</v>
      </c>
      <c r="AG365" s="34" t="s">
        <v>13</v>
      </c>
      <c r="AM365" s="37">
        <f t="shared" si="191"/>
        <v>0</v>
      </c>
      <c r="AN365" s="37">
        <f t="shared" si="192"/>
        <v>0</v>
      </c>
      <c r="AO365" s="38" t="s">
        <v>1213</v>
      </c>
      <c r="AP365" s="38" t="s">
        <v>1231</v>
      </c>
      <c r="AQ365" s="28" t="s">
        <v>1234</v>
      </c>
      <c r="AS365" s="37">
        <f t="shared" si="193"/>
        <v>0</v>
      </c>
      <c r="AT365" s="37">
        <f t="shared" si="194"/>
        <v>0</v>
      </c>
      <c r="AU365" s="37">
        <v>0</v>
      </c>
      <c r="AV365" s="37">
        <f t="shared" si="195"/>
        <v>0.3230315</v>
      </c>
    </row>
    <row r="366" spans="1:48" ht="12.75">
      <c r="A366" s="7" t="s">
        <v>306</v>
      </c>
      <c r="B366" s="7"/>
      <c r="C366" s="7" t="s">
        <v>662</v>
      </c>
      <c r="D366" s="7" t="s">
        <v>1059</v>
      </c>
      <c r="E366" s="7" t="s">
        <v>1150</v>
      </c>
      <c r="F366" s="20">
        <v>0.0504</v>
      </c>
      <c r="G366" s="20">
        <v>0</v>
      </c>
      <c r="H366" s="20">
        <f t="shared" si="176"/>
        <v>0</v>
      </c>
      <c r="I366" s="20">
        <f t="shared" si="177"/>
        <v>0</v>
      </c>
      <c r="J366" s="20">
        <f t="shared" si="178"/>
        <v>0</v>
      </c>
      <c r="K366" s="20">
        <v>0.55</v>
      </c>
      <c r="L366" s="20">
        <f t="shared" si="179"/>
        <v>0.02772</v>
      </c>
      <c r="M366" s="34" t="s">
        <v>1177</v>
      </c>
      <c r="P366" s="37">
        <f t="shared" si="180"/>
        <v>0</v>
      </c>
      <c r="R366" s="37">
        <f t="shared" si="181"/>
        <v>0</v>
      </c>
      <c r="S366" s="37">
        <f t="shared" si="182"/>
        <v>0</v>
      </c>
      <c r="T366" s="37">
        <f t="shared" si="183"/>
        <v>0</v>
      </c>
      <c r="U366" s="37">
        <f t="shared" si="184"/>
        <v>0</v>
      </c>
      <c r="V366" s="37">
        <f t="shared" si="185"/>
        <v>0</v>
      </c>
      <c r="W366" s="37">
        <f t="shared" si="186"/>
        <v>0</v>
      </c>
      <c r="X366" s="37">
        <f t="shared" si="187"/>
        <v>0</v>
      </c>
      <c r="Y366" s="28"/>
      <c r="Z366" s="20">
        <f t="shared" si="188"/>
        <v>0</v>
      </c>
      <c r="AA366" s="20">
        <f t="shared" si="189"/>
        <v>0</v>
      </c>
      <c r="AB366" s="20">
        <f t="shared" si="190"/>
        <v>0</v>
      </c>
      <c r="AD366" s="37">
        <v>21</v>
      </c>
      <c r="AE366" s="37">
        <f>G366*1</f>
        <v>0</v>
      </c>
      <c r="AF366" s="37">
        <f>G366*(1-1)</f>
        <v>0</v>
      </c>
      <c r="AG366" s="34" t="s">
        <v>13</v>
      </c>
      <c r="AM366" s="37">
        <f t="shared" si="191"/>
        <v>0</v>
      </c>
      <c r="AN366" s="37">
        <f t="shared" si="192"/>
        <v>0</v>
      </c>
      <c r="AO366" s="38" t="s">
        <v>1213</v>
      </c>
      <c r="AP366" s="38" t="s">
        <v>1231</v>
      </c>
      <c r="AQ366" s="28" t="s">
        <v>1234</v>
      </c>
      <c r="AS366" s="37">
        <f t="shared" si="193"/>
        <v>0</v>
      </c>
      <c r="AT366" s="37">
        <f t="shared" si="194"/>
        <v>0</v>
      </c>
      <c r="AU366" s="37">
        <v>0</v>
      </c>
      <c r="AV366" s="37">
        <f t="shared" si="195"/>
        <v>0.02772</v>
      </c>
    </row>
    <row r="367" spans="1:48" ht="12.75">
      <c r="A367" s="7" t="s">
        <v>307</v>
      </c>
      <c r="B367" s="7"/>
      <c r="C367" s="7" t="s">
        <v>663</v>
      </c>
      <c r="D367" s="7" t="s">
        <v>1060</v>
      </c>
      <c r="E367" s="7" t="s">
        <v>1150</v>
      </c>
      <c r="F367" s="20">
        <v>2.15611</v>
      </c>
      <c r="G367" s="20">
        <v>0</v>
      </c>
      <c r="H367" s="20">
        <f t="shared" si="176"/>
        <v>0</v>
      </c>
      <c r="I367" s="20">
        <f t="shared" si="177"/>
        <v>0</v>
      </c>
      <c r="J367" s="20">
        <f t="shared" si="178"/>
        <v>0</v>
      </c>
      <c r="K367" s="20">
        <v>0.55</v>
      </c>
      <c r="L367" s="20">
        <f t="shared" si="179"/>
        <v>1.1858605</v>
      </c>
      <c r="M367" s="34" t="s">
        <v>1177</v>
      </c>
      <c r="P367" s="37">
        <f t="shared" si="180"/>
        <v>0</v>
      </c>
      <c r="R367" s="37">
        <f t="shared" si="181"/>
        <v>0</v>
      </c>
      <c r="S367" s="37">
        <f t="shared" si="182"/>
        <v>0</v>
      </c>
      <c r="T367" s="37">
        <f t="shared" si="183"/>
        <v>0</v>
      </c>
      <c r="U367" s="37">
        <f t="shared" si="184"/>
        <v>0</v>
      </c>
      <c r="V367" s="37">
        <f t="shared" si="185"/>
        <v>0</v>
      </c>
      <c r="W367" s="37">
        <f t="shared" si="186"/>
        <v>0</v>
      </c>
      <c r="X367" s="37">
        <f t="shared" si="187"/>
        <v>0</v>
      </c>
      <c r="Y367" s="28"/>
      <c r="Z367" s="20">
        <f t="shared" si="188"/>
        <v>0</v>
      </c>
      <c r="AA367" s="20">
        <f t="shared" si="189"/>
        <v>0</v>
      </c>
      <c r="AB367" s="20">
        <f t="shared" si="190"/>
        <v>0</v>
      </c>
      <c r="AD367" s="37">
        <v>21</v>
      </c>
      <c r="AE367" s="37">
        <f>G367*1</f>
        <v>0</v>
      </c>
      <c r="AF367" s="37">
        <f>G367*(1-1)</f>
        <v>0</v>
      </c>
      <c r="AG367" s="34" t="s">
        <v>13</v>
      </c>
      <c r="AM367" s="37">
        <f t="shared" si="191"/>
        <v>0</v>
      </c>
      <c r="AN367" s="37">
        <f t="shared" si="192"/>
        <v>0</v>
      </c>
      <c r="AO367" s="38" t="s">
        <v>1213</v>
      </c>
      <c r="AP367" s="38" t="s">
        <v>1231</v>
      </c>
      <c r="AQ367" s="28" t="s">
        <v>1234</v>
      </c>
      <c r="AS367" s="37">
        <f t="shared" si="193"/>
        <v>0</v>
      </c>
      <c r="AT367" s="37">
        <f t="shared" si="194"/>
        <v>0</v>
      </c>
      <c r="AU367" s="37">
        <v>0</v>
      </c>
      <c r="AV367" s="37">
        <f t="shared" si="195"/>
        <v>1.1858605</v>
      </c>
    </row>
    <row r="368" spans="1:48" ht="12.75">
      <c r="A368" s="7" t="s">
        <v>308</v>
      </c>
      <c r="B368" s="7"/>
      <c r="C368" s="7" t="s">
        <v>664</v>
      </c>
      <c r="D368" s="7" t="s">
        <v>1061</v>
      </c>
      <c r="E368" s="7" t="s">
        <v>1150</v>
      </c>
      <c r="F368" s="20">
        <v>4.52576</v>
      </c>
      <c r="G368" s="20">
        <v>0</v>
      </c>
      <c r="H368" s="20">
        <f t="shared" si="176"/>
        <v>0</v>
      </c>
      <c r="I368" s="20">
        <f t="shared" si="177"/>
        <v>0</v>
      </c>
      <c r="J368" s="20">
        <f t="shared" si="178"/>
        <v>0</v>
      </c>
      <c r="K368" s="20">
        <v>0.55</v>
      </c>
      <c r="L368" s="20">
        <f t="shared" si="179"/>
        <v>2.4891680000000003</v>
      </c>
      <c r="M368" s="34" t="s">
        <v>1177</v>
      </c>
      <c r="P368" s="37">
        <f t="shared" si="180"/>
        <v>0</v>
      </c>
      <c r="R368" s="37">
        <f t="shared" si="181"/>
        <v>0</v>
      </c>
      <c r="S368" s="37">
        <f t="shared" si="182"/>
        <v>0</v>
      </c>
      <c r="T368" s="37">
        <f t="shared" si="183"/>
        <v>0</v>
      </c>
      <c r="U368" s="37">
        <f t="shared" si="184"/>
        <v>0</v>
      </c>
      <c r="V368" s="37">
        <f t="shared" si="185"/>
        <v>0</v>
      </c>
      <c r="W368" s="37">
        <f t="shared" si="186"/>
        <v>0</v>
      </c>
      <c r="X368" s="37">
        <f t="shared" si="187"/>
        <v>0</v>
      </c>
      <c r="Y368" s="28"/>
      <c r="Z368" s="20">
        <f t="shared" si="188"/>
        <v>0</v>
      </c>
      <c r="AA368" s="20">
        <f t="shared" si="189"/>
        <v>0</v>
      </c>
      <c r="AB368" s="20">
        <f t="shared" si="190"/>
        <v>0</v>
      </c>
      <c r="AD368" s="37">
        <v>21</v>
      </c>
      <c r="AE368" s="37">
        <f>G368*1</f>
        <v>0</v>
      </c>
      <c r="AF368" s="37">
        <f>G368*(1-1)</f>
        <v>0</v>
      </c>
      <c r="AG368" s="34" t="s">
        <v>13</v>
      </c>
      <c r="AM368" s="37">
        <f t="shared" si="191"/>
        <v>0</v>
      </c>
      <c r="AN368" s="37">
        <f t="shared" si="192"/>
        <v>0</v>
      </c>
      <c r="AO368" s="38" t="s">
        <v>1213</v>
      </c>
      <c r="AP368" s="38" t="s">
        <v>1231</v>
      </c>
      <c r="AQ368" s="28" t="s">
        <v>1234</v>
      </c>
      <c r="AS368" s="37">
        <f t="shared" si="193"/>
        <v>0</v>
      </c>
      <c r="AT368" s="37">
        <f t="shared" si="194"/>
        <v>0</v>
      </c>
      <c r="AU368" s="37">
        <v>0</v>
      </c>
      <c r="AV368" s="37">
        <f t="shared" si="195"/>
        <v>2.4891680000000003</v>
      </c>
    </row>
    <row r="369" spans="1:48" ht="12.75">
      <c r="A369" s="7" t="s">
        <v>309</v>
      </c>
      <c r="B369" s="7"/>
      <c r="C369" s="7" t="s">
        <v>665</v>
      </c>
      <c r="D369" s="7" t="s">
        <v>1062</v>
      </c>
      <c r="E369" s="7" t="s">
        <v>1150</v>
      </c>
      <c r="F369" s="20">
        <v>0.99627</v>
      </c>
      <c r="G369" s="20">
        <v>0</v>
      </c>
      <c r="H369" s="20">
        <f t="shared" si="176"/>
        <v>0</v>
      </c>
      <c r="I369" s="20">
        <f t="shared" si="177"/>
        <v>0</v>
      </c>
      <c r="J369" s="20">
        <f t="shared" si="178"/>
        <v>0</v>
      </c>
      <c r="K369" s="20">
        <v>0.55</v>
      </c>
      <c r="L369" s="20">
        <f t="shared" si="179"/>
        <v>0.5479485000000001</v>
      </c>
      <c r="M369" s="34" t="s">
        <v>1177</v>
      </c>
      <c r="P369" s="37">
        <f t="shared" si="180"/>
        <v>0</v>
      </c>
      <c r="R369" s="37">
        <f t="shared" si="181"/>
        <v>0</v>
      </c>
      <c r="S369" s="37">
        <f t="shared" si="182"/>
        <v>0</v>
      </c>
      <c r="T369" s="37">
        <f t="shared" si="183"/>
        <v>0</v>
      </c>
      <c r="U369" s="37">
        <f t="shared" si="184"/>
        <v>0</v>
      </c>
      <c r="V369" s="37">
        <f t="shared" si="185"/>
        <v>0</v>
      </c>
      <c r="W369" s="37">
        <f t="shared" si="186"/>
        <v>0</v>
      </c>
      <c r="X369" s="37">
        <f t="shared" si="187"/>
        <v>0</v>
      </c>
      <c r="Y369" s="28"/>
      <c r="Z369" s="20">
        <f t="shared" si="188"/>
        <v>0</v>
      </c>
      <c r="AA369" s="20">
        <f t="shared" si="189"/>
        <v>0</v>
      </c>
      <c r="AB369" s="20">
        <f t="shared" si="190"/>
        <v>0</v>
      </c>
      <c r="AD369" s="37">
        <v>21</v>
      </c>
      <c r="AE369" s="37">
        <f>G369*1</f>
        <v>0</v>
      </c>
      <c r="AF369" s="37">
        <f>G369*(1-1)</f>
        <v>0</v>
      </c>
      <c r="AG369" s="34" t="s">
        <v>13</v>
      </c>
      <c r="AM369" s="37">
        <f t="shared" si="191"/>
        <v>0</v>
      </c>
      <c r="AN369" s="37">
        <f t="shared" si="192"/>
        <v>0</v>
      </c>
      <c r="AO369" s="38" t="s">
        <v>1213</v>
      </c>
      <c r="AP369" s="38" t="s">
        <v>1231</v>
      </c>
      <c r="AQ369" s="28" t="s">
        <v>1234</v>
      </c>
      <c r="AS369" s="37">
        <f t="shared" si="193"/>
        <v>0</v>
      </c>
      <c r="AT369" s="37">
        <f t="shared" si="194"/>
        <v>0</v>
      </c>
      <c r="AU369" s="37">
        <v>0</v>
      </c>
      <c r="AV369" s="37">
        <f t="shared" si="195"/>
        <v>0.5479485000000001</v>
      </c>
    </row>
    <row r="370" spans="1:48" ht="12.75">
      <c r="A370" s="5" t="s">
        <v>310</v>
      </c>
      <c r="B370" s="5"/>
      <c r="C370" s="5" t="s">
        <v>666</v>
      </c>
      <c r="D370" s="5" t="s">
        <v>1063</v>
      </c>
      <c r="E370" s="5" t="s">
        <v>1154</v>
      </c>
      <c r="F370" s="19">
        <v>35</v>
      </c>
      <c r="G370" s="19">
        <v>0</v>
      </c>
      <c r="H370" s="19">
        <f t="shared" si="176"/>
        <v>0</v>
      </c>
      <c r="I370" s="19">
        <f t="shared" si="177"/>
        <v>0</v>
      </c>
      <c r="J370" s="19">
        <f t="shared" si="178"/>
        <v>0</v>
      </c>
      <c r="K370" s="19">
        <v>0.00099</v>
      </c>
      <c r="L370" s="19">
        <f t="shared" si="179"/>
        <v>0.03465</v>
      </c>
      <c r="M370" s="33" t="s">
        <v>1177</v>
      </c>
      <c r="P370" s="37">
        <f t="shared" si="180"/>
        <v>0</v>
      </c>
      <c r="R370" s="37">
        <f t="shared" si="181"/>
        <v>0</v>
      </c>
      <c r="S370" s="37">
        <f t="shared" si="182"/>
        <v>0</v>
      </c>
      <c r="T370" s="37">
        <f t="shared" si="183"/>
        <v>0</v>
      </c>
      <c r="U370" s="37">
        <f t="shared" si="184"/>
        <v>0</v>
      </c>
      <c r="V370" s="37">
        <f t="shared" si="185"/>
        <v>0</v>
      </c>
      <c r="W370" s="37">
        <f t="shared" si="186"/>
        <v>0</v>
      </c>
      <c r="X370" s="37">
        <f t="shared" si="187"/>
        <v>0</v>
      </c>
      <c r="Y370" s="28"/>
      <c r="Z370" s="19">
        <f t="shared" si="188"/>
        <v>0</v>
      </c>
      <c r="AA370" s="19">
        <f t="shared" si="189"/>
        <v>0</v>
      </c>
      <c r="AB370" s="19">
        <f t="shared" si="190"/>
        <v>0</v>
      </c>
      <c r="AD370" s="37">
        <v>21</v>
      </c>
      <c r="AE370" s="37">
        <f>G370*0.0234857849196539</f>
        <v>0</v>
      </c>
      <c r="AF370" s="37">
        <f>G370*(1-0.0234857849196539)</f>
        <v>0</v>
      </c>
      <c r="AG370" s="33" t="s">
        <v>13</v>
      </c>
      <c r="AM370" s="37">
        <f t="shared" si="191"/>
        <v>0</v>
      </c>
      <c r="AN370" s="37">
        <f t="shared" si="192"/>
        <v>0</v>
      </c>
      <c r="AO370" s="38" t="s">
        <v>1213</v>
      </c>
      <c r="AP370" s="38" t="s">
        <v>1231</v>
      </c>
      <c r="AQ370" s="28" t="s">
        <v>1234</v>
      </c>
      <c r="AS370" s="37">
        <f t="shared" si="193"/>
        <v>0</v>
      </c>
      <c r="AT370" s="37">
        <f t="shared" si="194"/>
        <v>0</v>
      </c>
      <c r="AU370" s="37">
        <v>0</v>
      </c>
      <c r="AV370" s="37">
        <f t="shared" si="195"/>
        <v>0.03465</v>
      </c>
    </row>
    <row r="371" spans="1:48" ht="12.75">
      <c r="A371" s="7" t="s">
        <v>311</v>
      </c>
      <c r="B371" s="7"/>
      <c r="C371" s="7" t="s">
        <v>667</v>
      </c>
      <c r="D371" s="7" t="s">
        <v>1064</v>
      </c>
      <c r="E371" s="7" t="s">
        <v>1150</v>
      </c>
      <c r="F371" s="20">
        <v>1.127</v>
      </c>
      <c r="G371" s="20">
        <v>0</v>
      </c>
      <c r="H371" s="20">
        <f t="shared" si="176"/>
        <v>0</v>
      </c>
      <c r="I371" s="20">
        <f t="shared" si="177"/>
        <v>0</v>
      </c>
      <c r="J371" s="20">
        <f t="shared" si="178"/>
        <v>0</v>
      </c>
      <c r="K371" s="20">
        <v>0.55</v>
      </c>
      <c r="L371" s="20">
        <f t="shared" si="179"/>
        <v>0.61985</v>
      </c>
      <c r="M371" s="34" t="s">
        <v>1177</v>
      </c>
      <c r="P371" s="37">
        <f t="shared" si="180"/>
        <v>0</v>
      </c>
      <c r="R371" s="37">
        <f t="shared" si="181"/>
        <v>0</v>
      </c>
      <c r="S371" s="37">
        <f t="shared" si="182"/>
        <v>0</v>
      </c>
      <c r="T371" s="37">
        <f t="shared" si="183"/>
        <v>0</v>
      </c>
      <c r="U371" s="37">
        <f t="shared" si="184"/>
        <v>0</v>
      </c>
      <c r="V371" s="37">
        <f t="shared" si="185"/>
        <v>0</v>
      </c>
      <c r="W371" s="37">
        <f t="shared" si="186"/>
        <v>0</v>
      </c>
      <c r="X371" s="37">
        <f t="shared" si="187"/>
        <v>0</v>
      </c>
      <c r="Y371" s="28"/>
      <c r="Z371" s="20">
        <f t="shared" si="188"/>
        <v>0</v>
      </c>
      <c r="AA371" s="20">
        <f t="shared" si="189"/>
        <v>0</v>
      </c>
      <c r="AB371" s="20">
        <f t="shared" si="190"/>
        <v>0</v>
      </c>
      <c r="AD371" s="37">
        <v>21</v>
      </c>
      <c r="AE371" s="37">
        <f>G371*1</f>
        <v>0</v>
      </c>
      <c r="AF371" s="37">
        <f>G371*(1-1)</f>
        <v>0</v>
      </c>
      <c r="AG371" s="34" t="s">
        <v>13</v>
      </c>
      <c r="AM371" s="37">
        <f t="shared" si="191"/>
        <v>0</v>
      </c>
      <c r="AN371" s="37">
        <f t="shared" si="192"/>
        <v>0</v>
      </c>
      <c r="AO371" s="38" t="s">
        <v>1213</v>
      </c>
      <c r="AP371" s="38" t="s">
        <v>1231</v>
      </c>
      <c r="AQ371" s="28" t="s">
        <v>1234</v>
      </c>
      <c r="AS371" s="37">
        <f t="shared" si="193"/>
        <v>0</v>
      </c>
      <c r="AT371" s="37">
        <f t="shared" si="194"/>
        <v>0</v>
      </c>
      <c r="AU371" s="37">
        <v>0</v>
      </c>
      <c r="AV371" s="37">
        <f t="shared" si="195"/>
        <v>0.61985</v>
      </c>
    </row>
    <row r="372" spans="1:48" ht="12.75">
      <c r="A372" s="5" t="s">
        <v>312</v>
      </c>
      <c r="B372" s="5"/>
      <c r="C372" s="5" t="s">
        <v>668</v>
      </c>
      <c r="D372" s="5" t="s">
        <v>1065</v>
      </c>
      <c r="E372" s="5" t="s">
        <v>1154</v>
      </c>
      <c r="F372" s="19">
        <v>68.4</v>
      </c>
      <c r="G372" s="19">
        <v>0</v>
      </c>
      <c r="H372" s="19">
        <f t="shared" si="176"/>
        <v>0</v>
      </c>
      <c r="I372" s="19">
        <f t="shared" si="177"/>
        <v>0</v>
      </c>
      <c r="J372" s="19">
        <f t="shared" si="178"/>
        <v>0</v>
      </c>
      <c r="K372" s="19">
        <v>0.00099</v>
      </c>
      <c r="L372" s="19">
        <f t="shared" si="179"/>
        <v>0.067716</v>
      </c>
      <c r="M372" s="33" t="s">
        <v>1177</v>
      </c>
      <c r="P372" s="37">
        <f t="shared" si="180"/>
        <v>0</v>
      </c>
      <c r="R372" s="37">
        <f t="shared" si="181"/>
        <v>0</v>
      </c>
      <c r="S372" s="37">
        <f t="shared" si="182"/>
        <v>0</v>
      </c>
      <c r="T372" s="37">
        <f t="shared" si="183"/>
        <v>0</v>
      </c>
      <c r="U372" s="37">
        <f t="shared" si="184"/>
        <v>0</v>
      </c>
      <c r="V372" s="37">
        <f t="shared" si="185"/>
        <v>0</v>
      </c>
      <c r="W372" s="37">
        <f t="shared" si="186"/>
        <v>0</v>
      </c>
      <c r="X372" s="37">
        <f t="shared" si="187"/>
        <v>0</v>
      </c>
      <c r="Y372" s="28"/>
      <c r="Z372" s="19">
        <f t="shared" si="188"/>
        <v>0</v>
      </c>
      <c r="AA372" s="19">
        <f t="shared" si="189"/>
        <v>0</v>
      </c>
      <c r="AB372" s="19">
        <f t="shared" si="190"/>
        <v>0</v>
      </c>
      <c r="AD372" s="37">
        <v>21</v>
      </c>
      <c r="AE372" s="37">
        <f>G372*0.0217085427135678</f>
        <v>0</v>
      </c>
      <c r="AF372" s="37">
        <f>G372*(1-0.0217085427135678)</f>
        <v>0</v>
      </c>
      <c r="AG372" s="33" t="s">
        <v>13</v>
      </c>
      <c r="AM372" s="37">
        <f t="shared" si="191"/>
        <v>0</v>
      </c>
      <c r="AN372" s="37">
        <f t="shared" si="192"/>
        <v>0</v>
      </c>
      <c r="AO372" s="38" t="s">
        <v>1213</v>
      </c>
      <c r="AP372" s="38" t="s">
        <v>1231</v>
      </c>
      <c r="AQ372" s="28" t="s">
        <v>1234</v>
      </c>
      <c r="AS372" s="37">
        <f t="shared" si="193"/>
        <v>0</v>
      </c>
      <c r="AT372" s="37">
        <f t="shared" si="194"/>
        <v>0</v>
      </c>
      <c r="AU372" s="37">
        <v>0</v>
      </c>
      <c r="AV372" s="37">
        <f t="shared" si="195"/>
        <v>0.067716</v>
      </c>
    </row>
    <row r="373" spans="1:48" ht="12.75">
      <c r="A373" s="7" t="s">
        <v>313</v>
      </c>
      <c r="B373" s="7"/>
      <c r="C373" s="7" t="s">
        <v>669</v>
      </c>
      <c r="D373" s="7" t="s">
        <v>1066</v>
      </c>
      <c r="E373" s="7" t="s">
        <v>1150</v>
      </c>
      <c r="F373" s="20">
        <v>0.77039</v>
      </c>
      <c r="G373" s="20">
        <v>0</v>
      </c>
      <c r="H373" s="20">
        <f t="shared" si="176"/>
        <v>0</v>
      </c>
      <c r="I373" s="20">
        <f t="shared" si="177"/>
        <v>0</v>
      </c>
      <c r="J373" s="20">
        <f t="shared" si="178"/>
        <v>0</v>
      </c>
      <c r="K373" s="20">
        <v>0.55</v>
      </c>
      <c r="L373" s="20">
        <f t="shared" si="179"/>
        <v>0.42371450000000005</v>
      </c>
      <c r="M373" s="34" t="s">
        <v>1177</v>
      </c>
      <c r="P373" s="37">
        <f t="shared" si="180"/>
        <v>0</v>
      </c>
      <c r="R373" s="37">
        <f t="shared" si="181"/>
        <v>0</v>
      </c>
      <c r="S373" s="37">
        <f t="shared" si="182"/>
        <v>0</v>
      </c>
      <c r="T373" s="37">
        <f t="shared" si="183"/>
        <v>0</v>
      </c>
      <c r="U373" s="37">
        <f t="shared" si="184"/>
        <v>0</v>
      </c>
      <c r="V373" s="37">
        <f t="shared" si="185"/>
        <v>0</v>
      </c>
      <c r="W373" s="37">
        <f t="shared" si="186"/>
        <v>0</v>
      </c>
      <c r="X373" s="37">
        <f t="shared" si="187"/>
        <v>0</v>
      </c>
      <c r="Y373" s="28"/>
      <c r="Z373" s="20">
        <f t="shared" si="188"/>
        <v>0</v>
      </c>
      <c r="AA373" s="20">
        <f t="shared" si="189"/>
        <v>0</v>
      </c>
      <c r="AB373" s="20">
        <f t="shared" si="190"/>
        <v>0</v>
      </c>
      <c r="AD373" s="37">
        <v>21</v>
      </c>
      <c r="AE373" s="37">
        <f>G373*1</f>
        <v>0</v>
      </c>
      <c r="AF373" s="37">
        <f>G373*(1-1)</f>
        <v>0</v>
      </c>
      <c r="AG373" s="34" t="s">
        <v>13</v>
      </c>
      <c r="AM373" s="37">
        <f t="shared" si="191"/>
        <v>0</v>
      </c>
      <c r="AN373" s="37">
        <f t="shared" si="192"/>
        <v>0</v>
      </c>
      <c r="AO373" s="38" t="s">
        <v>1213</v>
      </c>
      <c r="AP373" s="38" t="s">
        <v>1231</v>
      </c>
      <c r="AQ373" s="28" t="s">
        <v>1234</v>
      </c>
      <c r="AS373" s="37">
        <f t="shared" si="193"/>
        <v>0</v>
      </c>
      <c r="AT373" s="37">
        <f t="shared" si="194"/>
        <v>0</v>
      </c>
      <c r="AU373" s="37">
        <v>0</v>
      </c>
      <c r="AV373" s="37">
        <f t="shared" si="195"/>
        <v>0.42371450000000005</v>
      </c>
    </row>
    <row r="374" spans="1:48" ht="12.75">
      <c r="A374" s="7" t="s">
        <v>314</v>
      </c>
      <c r="B374" s="7"/>
      <c r="C374" s="7" t="s">
        <v>670</v>
      </c>
      <c r="D374" s="7" t="s">
        <v>1067</v>
      </c>
      <c r="E374" s="7" t="s">
        <v>1150</v>
      </c>
      <c r="F374" s="20">
        <v>0.08678</v>
      </c>
      <c r="G374" s="20">
        <v>0</v>
      </c>
      <c r="H374" s="20">
        <f t="shared" si="176"/>
        <v>0</v>
      </c>
      <c r="I374" s="20">
        <f t="shared" si="177"/>
        <v>0</v>
      </c>
      <c r="J374" s="20">
        <f t="shared" si="178"/>
        <v>0</v>
      </c>
      <c r="K374" s="20">
        <v>0.55</v>
      </c>
      <c r="L374" s="20">
        <f t="shared" si="179"/>
        <v>0.047729</v>
      </c>
      <c r="M374" s="34" t="s">
        <v>1177</v>
      </c>
      <c r="P374" s="37">
        <f t="shared" si="180"/>
        <v>0</v>
      </c>
      <c r="R374" s="37">
        <f t="shared" si="181"/>
        <v>0</v>
      </c>
      <c r="S374" s="37">
        <f t="shared" si="182"/>
        <v>0</v>
      </c>
      <c r="T374" s="37">
        <f t="shared" si="183"/>
        <v>0</v>
      </c>
      <c r="U374" s="37">
        <f t="shared" si="184"/>
        <v>0</v>
      </c>
      <c r="V374" s="37">
        <f t="shared" si="185"/>
        <v>0</v>
      </c>
      <c r="W374" s="37">
        <f t="shared" si="186"/>
        <v>0</v>
      </c>
      <c r="X374" s="37">
        <f t="shared" si="187"/>
        <v>0</v>
      </c>
      <c r="Y374" s="28"/>
      <c r="Z374" s="20">
        <f t="shared" si="188"/>
        <v>0</v>
      </c>
      <c r="AA374" s="20">
        <f t="shared" si="189"/>
        <v>0</v>
      </c>
      <c r="AB374" s="20">
        <f t="shared" si="190"/>
        <v>0</v>
      </c>
      <c r="AD374" s="37">
        <v>21</v>
      </c>
      <c r="AE374" s="37">
        <f>G374*1</f>
        <v>0</v>
      </c>
      <c r="AF374" s="37">
        <f>G374*(1-1)</f>
        <v>0</v>
      </c>
      <c r="AG374" s="34" t="s">
        <v>13</v>
      </c>
      <c r="AM374" s="37">
        <f t="shared" si="191"/>
        <v>0</v>
      </c>
      <c r="AN374" s="37">
        <f t="shared" si="192"/>
        <v>0</v>
      </c>
      <c r="AO374" s="38" t="s">
        <v>1213</v>
      </c>
      <c r="AP374" s="38" t="s">
        <v>1231</v>
      </c>
      <c r="AQ374" s="28" t="s">
        <v>1234</v>
      </c>
      <c r="AS374" s="37">
        <f t="shared" si="193"/>
        <v>0</v>
      </c>
      <c r="AT374" s="37">
        <f t="shared" si="194"/>
        <v>0</v>
      </c>
      <c r="AU374" s="37">
        <v>0</v>
      </c>
      <c r="AV374" s="37">
        <f t="shared" si="195"/>
        <v>0.047729</v>
      </c>
    </row>
    <row r="375" spans="1:48" ht="12.75">
      <c r="A375" s="5" t="s">
        <v>315</v>
      </c>
      <c r="B375" s="5"/>
      <c r="C375" s="5" t="s">
        <v>671</v>
      </c>
      <c r="D375" s="5" t="s">
        <v>1068</v>
      </c>
      <c r="E375" s="5" t="s">
        <v>1151</v>
      </c>
      <c r="F375" s="19">
        <v>129.5508</v>
      </c>
      <c r="G375" s="19">
        <v>0</v>
      </c>
      <c r="H375" s="19">
        <f t="shared" si="176"/>
        <v>0</v>
      </c>
      <c r="I375" s="19">
        <f t="shared" si="177"/>
        <v>0</v>
      </c>
      <c r="J375" s="19">
        <f t="shared" si="178"/>
        <v>0</v>
      </c>
      <c r="K375" s="19">
        <v>0</v>
      </c>
      <c r="L375" s="19">
        <f t="shared" si="179"/>
        <v>0</v>
      </c>
      <c r="M375" s="33" t="s">
        <v>1177</v>
      </c>
      <c r="P375" s="37">
        <f t="shared" si="180"/>
        <v>0</v>
      </c>
      <c r="R375" s="37">
        <f t="shared" si="181"/>
        <v>0</v>
      </c>
      <c r="S375" s="37">
        <f t="shared" si="182"/>
        <v>0</v>
      </c>
      <c r="T375" s="37">
        <f t="shared" si="183"/>
        <v>0</v>
      </c>
      <c r="U375" s="37">
        <f t="shared" si="184"/>
        <v>0</v>
      </c>
      <c r="V375" s="37">
        <f t="shared" si="185"/>
        <v>0</v>
      </c>
      <c r="W375" s="37">
        <f t="shared" si="186"/>
        <v>0</v>
      </c>
      <c r="X375" s="37">
        <f t="shared" si="187"/>
        <v>0</v>
      </c>
      <c r="Y375" s="28"/>
      <c r="Z375" s="19">
        <f t="shared" si="188"/>
        <v>0</v>
      </c>
      <c r="AA375" s="19">
        <f t="shared" si="189"/>
        <v>0</v>
      </c>
      <c r="AB375" s="19">
        <f t="shared" si="190"/>
        <v>0</v>
      </c>
      <c r="AD375" s="37">
        <v>21</v>
      </c>
      <c r="AE375" s="37">
        <f>G375*0</f>
        <v>0</v>
      </c>
      <c r="AF375" s="37">
        <f>G375*(1-0)</f>
        <v>0</v>
      </c>
      <c r="AG375" s="33" t="s">
        <v>13</v>
      </c>
      <c r="AM375" s="37">
        <f t="shared" si="191"/>
        <v>0</v>
      </c>
      <c r="AN375" s="37">
        <f t="shared" si="192"/>
        <v>0</v>
      </c>
      <c r="AO375" s="38" t="s">
        <v>1213</v>
      </c>
      <c r="AP375" s="38" t="s">
        <v>1231</v>
      </c>
      <c r="AQ375" s="28" t="s">
        <v>1234</v>
      </c>
      <c r="AS375" s="37">
        <f t="shared" si="193"/>
        <v>0</v>
      </c>
      <c r="AT375" s="37">
        <f t="shared" si="194"/>
        <v>0</v>
      </c>
      <c r="AU375" s="37">
        <v>0</v>
      </c>
      <c r="AV375" s="37">
        <f t="shared" si="195"/>
        <v>0</v>
      </c>
    </row>
    <row r="376" ht="12.75">
      <c r="D376" s="16" t="s">
        <v>1069</v>
      </c>
    </row>
    <row r="377" spans="1:48" ht="12.75">
      <c r="A377" s="7" t="s">
        <v>316</v>
      </c>
      <c r="B377" s="7"/>
      <c r="C377" s="7" t="s">
        <v>672</v>
      </c>
      <c r="D377" s="7" t="s">
        <v>1070</v>
      </c>
      <c r="E377" s="7" t="s">
        <v>1151</v>
      </c>
      <c r="F377" s="20">
        <v>148.98342</v>
      </c>
      <c r="G377" s="20">
        <v>0</v>
      </c>
      <c r="H377" s="20">
        <f>F377*AE377</f>
        <v>0</v>
      </c>
      <c r="I377" s="20">
        <f>J377-H377</f>
        <v>0</v>
      </c>
      <c r="J377" s="20">
        <f>F377*G377</f>
        <v>0</v>
      </c>
      <c r="K377" s="20">
        <v>0.0148</v>
      </c>
      <c r="L377" s="20">
        <f>F377*K377</f>
        <v>2.204954616</v>
      </c>
      <c r="M377" s="34" t="s">
        <v>1177</v>
      </c>
      <c r="P377" s="37">
        <f>IF(AG377="5",J377,0)</f>
        <v>0</v>
      </c>
      <c r="R377" s="37">
        <f>IF(AG377="1",H377,0)</f>
        <v>0</v>
      </c>
      <c r="S377" s="37">
        <f>IF(AG377="1",I377,0)</f>
        <v>0</v>
      </c>
      <c r="T377" s="37">
        <f>IF(AG377="7",H377,0)</f>
        <v>0</v>
      </c>
      <c r="U377" s="37">
        <f>IF(AG377="7",I377,0)</f>
        <v>0</v>
      </c>
      <c r="V377" s="37">
        <f>IF(AG377="2",H377,0)</f>
        <v>0</v>
      </c>
      <c r="W377" s="37">
        <f>IF(AG377="2",I377,0)</f>
        <v>0</v>
      </c>
      <c r="X377" s="37">
        <f>IF(AG377="0",J377,0)</f>
        <v>0</v>
      </c>
      <c r="Y377" s="28"/>
      <c r="Z377" s="20">
        <f>IF(AD377=0,J377,0)</f>
        <v>0</v>
      </c>
      <c r="AA377" s="20">
        <f>IF(AD377=15,J377,0)</f>
        <v>0</v>
      </c>
      <c r="AB377" s="20">
        <f>IF(AD377=21,J377,0)</f>
        <v>0</v>
      </c>
      <c r="AD377" s="37">
        <v>21</v>
      </c>
      <c r="AE377" s="37">
        <f>G377*1</f>
        <v>0</v>
      </c>
      <c r="AF377" s="37">
        <f>G377*(1-1)</f>
        <v>0</v>
      </c>
      <c r="AG377" s="34" t="s">
        <v>13</v>
      </c>
      <c r="AM377" s="37">
        <f>F377*AE377</f>
        <v>0</v>
      </c>
      <c r="AN377" s="37">
        <f>F377*AF377</f>
        <v>0</v>
      </c>
      <c r="AO377" s="38" t="s">
        <v>1213</v>
      </c>
      <c r="AP377" s="38" t="s">
        <v>1231</v>
      </c>
      <c r="AQ377" s="28" t="s">
        <v>1234</v>
      </c>
      <c r="AS377" s="37">
        <f>AM377+AN377</f>
        <v>0</v>
      </c>
      <c r="AT377" s="37">
        <f>G377/(100-AU377)*100</f>
        <v>0</v>
      </c>
      <c r="AU377" s="37">
        <v>0</v>
      </c>
      <c r="AV377" s="37">
        <f>L377</f>
        <v>2.204954616</v>
      </c>
    </row>
    <row r="378" spans="1:48" ht="12.75">
      <c r="A378" s="5" t="s">
        <v>317</v>
      </c>
      <c r="B378" s="5"/>
      <c r="C378" s="5" t="s">
        <v>673</v>
      </c>
      <c r="D378" s="5" t="s">
        <v>1071</v>
      </c>
      <c r="E378" s="5" t="s">
        <v>1151</v>
      </c>
      <c r="F378" s="19">
        <v>33.44</v>
      </c>
      <c r="G378" s="19">
        <v>0</v>
      </c>
      <c r="H378" s="19">
        <f>F378*AE378</f>
        <v>0</v>
      </c>
      <c r="I378" s="19">
        <f>J378-H378</f>
        <v>0</v>
      </c>
      <c r="J378" s="19">
        <f>F378*G378</f>
        <v>0</v>
      </c>
      <c r="K378" s="19">
        <v>0.01029</v>
      </c>
      <c r="L378" s="19">
        <f>F378*K378</f>
        <v>0.3440976</v>
      </c>
      <c r="M378" s="33" t="s">
        <v>1177</v>
      </c>
      <c r="P378" s="37">
        <f>IF(AG378="5",J378,0)</f>
        <v>0</v>
      </c>
      <c r="R378" s="37">
        <f>IF(AG378="1",H378,0)</f>
        <v>0</v>
      </c>
      <c r="S378" s="37">
        <f>IF(AG378="1",I378,0)</f>
        <v>0</v>
      </c>
      <c r="T378" s="37">
        <f>IF(AG378="7",H378,0)</f>
        <v>0</v>
      </c>
      <c r="U378" s="37">
        <f>IF(AG378="7",I378,0)</f>
        <v>0</v>
      </c>
      <c r="V378" s="37">
        <f>IF(AG378="2",H378,0)</f>
        <v>0</v>
      </c>
      <c r="W378" s="37">
        <f>IF(AG378="2",I378,0)</f>
        <v>0</v>
      </c>
      <c r="X378" s="37">
        <f>IF(AG378="0",J378,0)</f>
        <v>0</v>
      </c>
      <c r="Y378" s="28"/>
      <c r="Z378" s="19">
        <f>IF(AD378=0,J378,0)</f>
        <v>0</v>
      </c>
      <c r="AA378" s="19">
        <f>IF(AD378=15,J378,0)</f>
        <v>0</v>
      </c>
      <c r="AB378" s="19">
        <f>IF(AD378=21,J378,0)</f>
        <v>0</v>
      </c>
      <c r="AD378" s="37">
        <v>21</v>
      </c>
      <c r="AE378" s="37">
        <f>G378*0.403409961685824</f>
        <v>0</v>
      </c>
      <c r="AF378" s="37">
        <f>G378*(1-0.403409961685824)</f>
        <v>0</v>
      </c>
      <c r="AG378" s="33" t="s">
        <v>13</v>
      </c>
      <c r="AM378" s="37">
        <f>F378*AE378</f>
        <v>0</v>
      </c>
      <c r="AN378" s="37">
        <f>F378*AF378</f>
        <v>0</v>
      </c>
      <c r="AO378" s="38" t="s">
        <v>1213</v>
      </c>
      <c r="AP378" s="38" t="s">
        <v>1231</v>
      </c>
      <c r="AQ378" s="28" t="s">
        <v>1234</v>
      </c>
      <c r="AS378" s="37">
        <f>AM378+AN378</f>
        <v>0</v>
      </c>
      <c r="AT378" s="37">
        <f>G378/(100-AU378)*100</f>
        <v>0</v>
      </c>
      <c r="AU378" s="37">
        <v>0</v>
      </c>
      <c r="AV378" s="37">
        <f>L378</f>
        <v>0.3440976</v>
      </c>
    </row>
    <row r="379" ht="12.75">
      <c r="D379" s="16" t="s">
        <v>1072</v>
      </c>
    </row>
    <row r="380" spans="1:48" ht="12.75">
      <c r="A380" s="5" t="s">
        <v>318</v>
      </c>
      <c r="B380" s="5"/>
      <c r="C380" s="5" t="s">
        <v>674</v>
      </c>
      <c r="D380" s="5" t="s">
        <v>1073</v>
      </c>
      <c r="E380" s="5" t="s">
        <v>1150</v>
      </c>
      <c r="F380" s="19">
        <v>15.02454</v>
      </c>
      <c r="G380" s="19">
        <v>0</v>
      </c>
      <c r="H380" s="19">
        <f>F380*AE380</f>
        <v>0</v>
      </c>
      <c r="I380" s="19">
        <f>J380-H380</f>
        <v>0</v>
      </c>
      <c r="J380" s="19">
        <f>F380*G380</f>
        <v>0</v>
      </c>
      <c r="K380" s="19">
        <v>0.02357</v>
      </c>
      <c r="L380" s="19">
        <f>F380*K380</f>
        <v>0.3541284078</v>
      </c>
      <c r="M380" s="33" t="s">
        <v>1177</v>
      </c>
      <c r="P380" s="37">
        <f>IF(AG380="5",J380,0)</f>
        <v>0</v>
      </c>
      <c r="R380" s="37">
        <f>IF(AG380="1",H380,0)</f>
        <v>0</v>
      </c>
      <c r="S380" s="37">
        <f>IF(AG380="1",I380,0)</f>
        <v>0</v>
      </c>
      <c r="T380" s="37">
        <f>IF(AG380="7",H380,0)</f>
        <v>0</v>
      </c>
      <c r="U380" s="37">
        <f>IF(AG380="7",I380,0)</f>
        <v>0</v>
      </c>
      <c r="V380" s="37">
        <f>IF(AG380="2",H380,0)</f>
        <v>0</v>
      </c>
      <c r="W380" s="37">
        <f>IF(AG380="2",I380,0)</f>
        <v>0</v>
      </c>
      <c r="X380" s="37">
        <f>IF(AG380="0",J380,0)</f>
        <v>0</v>
      </c>
      <c r="Y380" s="28"/>
      <c r="Z380" s="19">
        <f>IF(AD380=0,J380,0)</f>
        <v>0</v>
      </c>
      <c r="AA380" s="19">
        <f>IF(AD380=15,J380,0)</f>
        <v>0</v>
      </c>
      <c r="AB380" s="19">
        <f>IF(AD380=21,J380,0)</f>
        <v>0</v>
      </c>
      <c r="AD380" s="37">
        <v>21</v>
      </c>
      <c r="AE380" s="37">
        <f>G380*0.999999535435859</f>
        <v>0</v>
      </c>
      <c r="AF380" s="37">
        <f>G380*(1-0.999999535435859)</f>
        <v>0</v>
      </c>
      <c r="AG380" s="33" t="s">
        <v>13</v>
      </c>
      <c r="AM380" s="37">
        <f>F380*AE380</f>
        <v>0</v>
      </c>
      <c r="AN380" s="37">
        <f>F380*AF380</f>
        <v>0</v>
      </c>
      <c r="AO380" s="38" t="s">
        <v>1213</v>
      </c>
      <c r="AP380" s="38" t="s">
        <v>1231</v>
      </c>
      <c r="AQ380" s="28" t="s">
        <v>1234</v>
      </c>
      <c r="AS380" s="37">
        <f>AM380+AN380</f>
        <v>0</v>
      </c>
      <c r="AT380" s="37">
        <f>G380/(100-AU380)*100</f>
        <v>0</v>
      </c>
      <c r="AU380" s="37">
        <v>0</v>
      </c>
      <c r="AV380" s="37">
        <f>L380</f>
        <v>0.3541284078</v>
      </c>
    </row>
    <row r="381" spans="1:48" ht="12.75">
      <c r="A381" s="5" t="s">
        <v>319</v>
      </c>
      <c r="B381" s="5"/>
      <c r="C381" s="5" t="s">
        <v>675</v>
      </c>
      <c r="D381" s="5" t="s">
        <v>1074</v>
      </c>
      <c r="E381" s="5" t="s">
        <v>1152</v>
      </c>
      <c r="F381" s="19">
        <v>9.5308</v>
      </c>
      <c r="G381" s="19">
        <v>0</v>
      </c>
      <c r="H381" s="19">
        <f>F381*AE381</f>
        <v>0</v>
      </c>
      <c r="I381" s="19">
        <f>J381-H381</f>
        <v>0</v>
      </c>
      <c r="J381" s="19">
        <f>F381*G381</f>
        <v>0</v>
      </c>
      <c r="K381" s="19">
        <v>0</v>
      </c>
      <c r="L381" s="19">
        <f>F381*K381</f>
        <v>0</v>
      </c>
      <c r="M381" s="33" t="s">
        <v>1177</v>
      </c>
      <c r="P381" s="37">
        <f>IF(AG381="5",J381,0)</f>
        <v>0</v>
      </c>
      <c r="R381" s="37">
        <f>IF(AG381="1",H381,0)</f>
        <v>0</v>
      </c>
      <c r="S381" s="37">
        <f>IF(AG381="1",I381,0)</f>
        <v>0</v>
      </c>
      <c r="T381" s="37">
        <f>IF(AG381="7",H381,0)</f>
        <v>0</v>
      </c>
      <c r="U381" s="37">
        <f>IF(AG381="7",I381,0)</f>
        <v>0</v>
      </c>
      <c r="V381" s="37">
        <f>IF(AG381="2",H381,0)</f>
        <v>0</v>
      </c>
      <c r="W381" s="37">
        <f>IF(AG381="2",I381,0)</f>
        <v>0</v>
      </c>
      <c r="X381" s="37">
        <f>IF(AG381="0",J381,0)</f>
        <v>0</v>
      </c>
      <c r="Y381" s="28"/>
      <c r="Z381" s="19">
        <f>IF(AD381=0,J381,0)</f>
        <v>0</v>
      </c>
      <c r="AA381" s="19">
        <f>IF(AD381=15,J381,0)</f>
        <v>0</v>
      </c>
      <c r="AB381" s="19">
        <f>IF(AD381=21,J381,0)</f>
        <v>0</v>
      </c>
      <c r="AD381" s="37">
        <v>21</v>
      </c>
      <c r="AE381" s="37">
        <f>G381*0</f>
        <v>0</v>
      </c>
      <c r="AF381" s="37">
        <f>G381*(1-0)</f>
        <v>0</v>
      </c>
      <c r="AG381" s="33" t="s">
        <v>11</v>
      </c>
      <c r="AM381" s="37">
        <f>F381*AE381</f>
        <v>0</v>
      </c>
      <c r="AN381" s="37">
        <f>F381*AF381</f>
        <v>0</v>
      </c>
      <c r="AO381" s="38" t="s">
        <v>1213</v>
      </c>
      <c r="AP381" s="38" t="s">
        <v>1231</v>
      </c>
      <c r="AQ381" s="28" t="s">
        <v>1234</v>
      </c>
      <c r="AS381" s="37">
        <f>AM381+AN381</f>
        <v>0</v>
      </c>
      <c r="AT381" s="37">
        <f>G381/(100-AU381)*100</f>
        <v>0</v>
      </c>
      <c r="AU381" s="37">
        <v>0</v>
      </c>
      <c r="AV381" s="37">
        <f>L381</f>
        <v>0</v>
      </c>
    </row>
    <row r="382" spans="1:37" ht="12.75">
      <c r="A382" s="6"/>
      <c r="B382" s="14"/>
      <c r="C382" s="14" t="s">
        <v>676</v>
      </c>
      <c r="D382" s="14" t="s">
        <v>1075</v>
      </c>
      <c r="E382" s="6" t="s">
        <v>6</v>
      </c>
      <c r="F382" s="6" t="s">
        <v>6</v>
      </c>
      <c r="G382" s="6" t="s">
        <v>6</v>
      </c>
      <c r="H382" s="40">
        <f>SUM(H383:H390)</f>
        <v>0</v>
      </c>
      <c r="I382" s="40">
        <f>SUM(I383:I390)</f>
        <v>0</v>
      </c>
      <c r="J382" s="40">
        <f>H382+I382</f>
        <v>0</v>
      </c>
      <c r="K382" s="28"/>
      <c r="L382" s="40">
        <f>SUM(L383:L390)</f>
        <v>0.377935</v>
      </c>
      <c r="M382" s="28"/>
      <c r="Y382" s="28"/>
      <c r="AI382" s="40">
        <f>SUM(Z383:Z390)</f>
        <v>0</v>
      </c>
      <c r="AJ382" s="40">
        <f>SUM(AA383:AA390)</f>
        <v>0</v>
      </c>
      <c r="AK382" s="40">
        <f>SUM(AB383:AB390)</f>
        <v>0</v>
      </c>
    </row>
    <row r="383" spans="1:48" ht="12.75">
      <c r="A383" s="5" t="s">
        <v>320</v>
      </c>
      <c r="B383" s="5"/>
      <c r="C383" s="5" t="s">
        <v>677</v>
      </c>
      <c r="D383" s="5" t="s">
        <v>1076</v>
      </c>
      <c r="E383" s="5" t="s">
        <v>1154</v>
      </c>
      <c r="F383" s="19">
        <v>8.5</v>
      </c>
      <c r="G383" s="19">
        <v>0</v>
      </c>
      <c r="H383" s="19">
        <f>F383*AE383</f>
        <v>0</v>
      </c>
      <c r="I383" s="19">
        <f>J383-H383</f>
        <v>0</v>
      </c>
      <c r="J383" s="19">
        <f>F383*G383</f>
        <v>0</v>
      </c>
      <c r="K383" s="19">
        <v>0.00201</v>
      </c>
      <c r="L383" s="19">
        <f>F383*K383</f>
        <v>0.017085</v>
      </c>
      <c r="M383" s="33" t="s">
        <v>1177</v>
      </c>
      <c r="P383" s="37">
        <f>IF(AG383="5",J383,0)</f>
        <v>0</v>
      </c>
      <c r="R383" s="37">
        <f>IF(AG383="1",H383,0)</f>
        <v>0</v>
      </c>
      <c r="S383" s="37">
        <f>IF(AG383="1",I383,0)</f>
        <v>0</v>
      </c>
      <c r="T383" s="37">
        <f>IF(AG383="7",H383,0)</f>
        <v>0</v>
      </c>
      <c r="U383" s="37">
        <f>IF(AG383="7",I383,0)</f>
        <v>0</v>
      </c>
      <c r="V383" s="37">
        <f>IF(AG383="2",H383,0)</f>
        <v>0</v>
      </c>
      <c r="W383" s="37">
        <f>IF(AG383="2",I383,0)</f>
        <v>0</v>
      </c>
      <c r="X383" s="37">
        <f>IF(AG383="0",J383,0)</f>
        <v>0</v>
      </c>
      <c r="Y383" s="28"/>
      <c r="Z383" s="19">
        <f>IF(AD383=0,J383,0)</f>
        <v>0</v>
      </c>
      <c r="AA383" s="19">
        <f>IF(AD383=15,J383,0)</f>
        <v>0</v>
      </c>
      <c r="AB383" s="19">
        <f>IF(AD383=21,J383,0)</f>
        <v>0</v>
      </c>
      <c r="AD383" s="37">
        <v>21</v>
      </c>
      <c r="AE383" s="37">
        <f>G383*0.230652173913043</f>
        <v>0</v>
      </c>
      <c r="AF383" s="37">
        <f>G383*(1-0.230652173913043)</f>
        <v>0</v>
      </c>
      <c r="AG383" s="33" t="s">
        <v>13</v>
      </c>
      <c r="AM383" s="37">
        <f>F383*AE383</f>
        <v>0</v>
      </c>
      <c r="AN383" s="37">
        <f>F383*AF383</f>
        <v>0</v>
      </c>
      <c r="AO383" s="38" t="s">
        <v>1214</v>
      </c>
      <c r="AP383" s="38" t="s">
        <v>1231</v>
      </c>
      <c r="AQ383" s="28" t="s">
        <v>1234</v>
      </c>
      <c r="AS383" s="37">
        <f>AM383+AN383</f>
        <v>0</v>
      </c>
      <c r="AT383" s="37">
        <f>G383/(100-AU383)*100</f>
        <v>0</v>
      </c>
      <c r="AU383" s="37">
        <v>0</v>
      </c>
      <c r="AV383" s="37">
        <f>L383</f>
        <v>0.017085</v>
      </c>
    </row>
    <row r="384" spans="1:48" ht="12.75">
      <c r="A384" s="5" t="s">
        <v>321</v>
      </c>
      <c r="B384" s="5"/>
      <c r="C384" s="5" t="s">
        <v>678</v>
      </c>
      <c r="D384" s="5" t="s">
        <v>1077</v>
      </c>
      <c r="E384" s="5" t="s">
        <v>1154</v>
      </c>
      <c r="F384" s="19">
        <v>67.5</v>
      </c>
      <c r="G384" s="19">
        <v>0</v>
      </c>
      <c r="H384" s="19">
        <f>F384*AE384</f>
        <v>0</v>
      </c>
      <c r="I384" s="19">
        <f>J384-H384</f>
        <v>0</v>
      </c>
      <c r="J384" s="19">
        <f>F384*G384</f>
        <v>0</v>
      </c>
      <c r="K384" s="19">
        <v>0.00201</v>
      </c>
      <c r="L384" s="19">
        <f>F384*K384</f>
        <v>0.13567500000000002</v>
      </c>
      <c r="M384" s="33" t="s">
        <v>1177</v>
      </c>
      <c r="P384" s="37">
        <f>IF(AG384="5",J384,0)</f>
        <v>0</v>
      </c>
      <c r="R384" s="37">
        <f>IF(AG384="1",H384,0)</f>
        <v>0</v>
      </c>
      <c r="S384" s="37">
        <f>IF(AG384="1",I384,0)</f>
        <v>0</v>
      </c>
      <c r="T384" s="37">
        <f>IF(AG384="7",H384,0)</f>
        <v>0</v>
      </c>
      <c r="U384" s="37">
        <f>IF(AG384="7",I384,0)</f>
        <v>0</v>
      </c>
      <c r="V384" s="37">
        <f>IF(AG384="2",H384,0)</f>
        <v>0</v>
      </c>
      <c r="W384" s="37">
        <f>IF(AG384="2",I384,0)</f>
        <v>0</v>
      </c>
      <c r="X384" s="37">
        <f>IF(AG384="0",J384,0)</f>
        <v>0</v>
      </c>
      <c r="Y384" s="28"/>
      <c r="Z384" s="19">
        <f>IF(AD384=0,J384,0)</f>
        <v>0</v>
      </c>
      <c r="AA384" s="19">
        <f>IF(AD384=15,J384,0)</f>
        <v>0</v>
      </c>
      <c r="AB384" s="19">
        <f>IF(AD384=21,J384,0)</f>
        <v>0</v>
      </c>
      <c r="AD384" s="37">
        <v>21</v>
      </c>
      <c r="AE384" s="37">
        <f>G384*0.230625</f>
        <v>0</v>
      </c>
      <c r="AF384" s="37">
        <f>G384*(1-0.230625)</f>
        <v>0</v>
      </c>
      <c r="AG384" s="33" t="s">
        <v>13</v>
      </c>
      <c r="AM384" s="37">
        <f>F384*AE384</f>
        <v>0</v>
      </c>
      <c r="AN384" s="37">
        <f>F384*AF384</f>
        <v>0</v>
      </c>
      <c r="AO384" s="38" t="s">
        <v>1214</v>
      </c>
      <c r="AP384" s="38" t="s">
        <v>1231</v>
      </c>
      <c r="AQ384" s="28" t="s">
        <v>1234</v>
      </c>
      <c r="AS384" s="37">
        <f>AM384+AN384</f>
        <v>0</v>
      </c>
      <c r="AT384" s="37">
        <f>G384/(100-AU384)*100</f>
        <v>0</v>
      </c>
      <c r="AU384" s="37">
        <v>0</v>
      </c>
      <c r="AV384" s="37">
        <f>L384</f>
        <v>0.13567500000000002</v>
      </c>
    </row>
    <row r="385" spans="1:48" ht="12.75">
      <c r="A385" s="5" t="s">
        <v>322</v>
      </c>
      <c r="B385" s="5"/>
      <c r="C385" s="5" t="s">
        <v>679</v>
      </c>
      <c r="D385" s="5" t="s">
        <v>1078</v>
      </c>
      <c r="E385" s="5" t="s">
        <v>1154</v>
      </c>
      <c r="F385" s="19">
        <v>17.5</v>
      </c>
      <c r="G385" s="19">
        <v>0</v>
      </c>
      <c r="H385" s="19">
        <f>F385*AE385</f>
        <v>0</v>
      </c>
      <c r="I385" s="19">
        <f>J385-H385</f>
        <v>0</v>
      </c>
      <c r="J385" s="19">
        <f>F385*G385</f>
        <v>0</v>
      </c>
      <c r="K385" s="19">
        <v>0.00301</v>
      </c>
      <c r="L385" s="19">
        <f>F385*K385</f>
        <v>0.052675</v>
      </c>
      <c r="M385" s="33" t="s">
        <v>1177</v>
      </c>
      <c r="P385" s="37">
        <f>IF(AG385="5",J385,0)</f>
        <v>0</v>
      </c>
      <c r="R385" s="37">
        <f>IF(AG385="1",H385,0)</f>
        <v>0</v>
      </c>
      <c r="S385" s="37">
        <f>IF(AG385="1",I385,0)</f>
        <v>0</v>
      </c>
      <c r="T385" s="37">
        <f>IF(AG385="7",H385,0)</f>
        <v>0</v>
      </c>
      <c r="U385" s="37">
        <f>IF(AG385="7",I385,0)</f>
        <v>0</v>
      </c>
      <c r="V385" s="37">
        <f>IF(AG385="2",H385,0)</f>
        <v>0</v>
      </c>
      <c r="W385" s="37">
        <f>IF(AG385="2",I385,0)</f>
        <v>0</v>
      </c>
      <c r="X385" s="37">
        <f>IF(AG385="0",J385,0)</f>
        <v>0</v>
      </c>
      <c r="Y385" s="28"/>
      <c r="Z385" s="19">
        <f>IF(AD385=0,J385,0)</f>
        <v>0</v>
      </c>
      <c r="AA385" s="19">
        <f>IF(AD385=15,J385,0)</f>
        <v>0</v>
      </c>
      <c r="AB385" s="19">
        <f>IF(AD385=21,J385,0)</f>
        <v>0</v>
      </c>
      <c r="AD385" s="37">
        <v>21</v>
      </c>
      <c r="AE385" s="37">
        <f>G385*0.230644171779141</f>
        <v>0</v>
      </c>
      <c r="AF385" s="37">
        <f>G385*(1-0.230644171779141)</f>
        <v>0</v>
      </c>
      <c r="AG385" s="33" t="s">
        <v>13</v>
      </c>
      <c r="AM385" s="37">
        <f>F385*AE385</f>
        <v>0</v>
      </c>
      <c r="AN385" s="37">
        <f>F385*AF385</f>
        <v>0</v>
      </c>
      <c r="AO385" s="38" t="s">
        <v>1214</v>
      </c>
      <c r="AP385" s="38" t="s">
        <v>1231</v>
      </c>
      <c r="AQ385" s="28" t="s">
        <v>1234</v>
      </c>
      <c r="AS385" s="37">
        <f>AM385+AN385</f>
        <v>0</v>
      </c>
      <c r="AT385" s="37">
        <f>G385/(100-AU385)*100</f>
        <v>0</v>
      </c>
      <c r="AU385" s="37">
        <v>0</v>
      </c>
      <c r="AV385" s="37">
        <f>L385</f>
        <v>0.052675</v>
      </c>
    </row>
    <row r="386" spans="1:48" ht="12.75">
      <c r="A386" s="5" t="s">
        <v>323</v>
      </c>
      <c r="B386" s="5"/>
      <c r="C386" s="5" t="s">
        <v>680</v>
      </c>
      <c r="D386" s="5" t="s">
        <v>1079</v>
      </c>
      <c r="E386" s="5" t="s">
        <v>1154</v>
      </c>
      <c r="F386" s="19">
        <v>29.7</v>
      </c>
      <c r="G386" s="19">
        <v>0</v>
      </c>
      <c r="H386" s="19">
        <f>F386*AE386</f>
        <v>0</v>
      </c>
      <c r="I386" s="19">
        <f>J386-H386</f>
        <v>0</v>
      </c>
      <c r="J386" s="19">
        <f>F386*G386</f>
        <v>0</v>
      </c>
      <c r="K386" s="19">
        <v>0.005</v>
      </c>
      <c r="L386" s="19">
        <f>F386*K386</f>
        <v>0.1485</v>
      </c>
      <c r="M386" s="33" t="s">
        <v>1177</v>
      </c>
      <c r="P386" s="37">
        <f>IF(AG386="5",J386,0)</f>
        <v>0</v>
      </c>
      <c r="R386" s="37">
        <f>IF(AG386="1",H386,0)</f>
        <v>0</v>
      </c>
      <c r="S386" s="37">
        <f>IF(AG386="1",I386,0)</f>
        <v>0</v>
      </c>
      <c r="T386" s="37">
        <f>IF(AG386="7",H386,0)</f>
        <v>0</v>
      </c>
      <c r="U386" s="37">
        <f>IF(AG386="7",I386,0)</f>
        <v>0</v>
      </c>
      <c r="V386" s="37">
        <f>IF(AG386="2",H386,0)</f>
        <v>0</v>
      </c>
      <c r="W386" s="37">
        <f>IF(AG386="2",I386,0)</f>
        <v>0</v>
      </c>
      <c r="X386" s="37">
        <f>IF(AG386="0",J386,0)</f>
        <v>0</v>
      </c>
      <c r="Y386" s="28"/>
      <c r="Z386" s="19">
        <f>IF(AD386=0,J386,0)</f>
        <v>0</v>
      </c>
      <c r="AA386" s="19">
        <f>IF(AD386=15,J386,0)</f>
        <v>0</v>
      </c>
      <c r="AB386" s="19">
        <f>IF(AD386=21,J386,0)</f>
        <v>0</v>
      </c>
      <c r="AD386" s="37">
        <v>21</v>
      </c>
      <c r="AE386" s="37">
        <f>G386*0.230651685393258</f>
        <v>0</v>
      </c>
      <c r="AF386" s="37">
        <f>G386*(1-0.230651685393258)</f>
        <v>0</v>
      </c>
      <c r="AG386" s="33" t="s">
        <v>13</v>
      </c>
      <c r="AM386" s="37">
        <f>F386*AE386</f>
        <v>0</v>
      </c>
      <c r="AN386" s="37">
        <f>F386*AF386</f>
        <v>0</v>
      </c>
      <c r="AO386" s="38" t="s">
        <v>1214</v>
      </c>
      <c r="AP386" s="38" t="s">
        <v>1231</v>
      </c>
      <c r="AQ386" s="28" t="s">
        <v>1234</v>
      </c>
      <c r="AS386" s="37">
        <f>AM386+AN386</f>
        <v>0</v>
      </c>
      <c r="AT386" s="37">
        <f>G386/(100-AU386)*100</f>
        <v>0</v>
      </c>
      <c r="AU386" s="37">
        <v>0</v>
      </c>
      <c r="AV386" s="37">
        <f>L386</f>
        <v>0.1485</v>
      </c>
    </row>
    <row r="387" ht="12.75">
      <c r="D387" s="16" t="s">
        <v>1080</v>
      </c>
    </row>
    <row r="388" spans="1:48" ht="12.75">
      <c r="A388" s="5" t="s">
        <v>324</v>
      </c>
      <c r="B388" s="5"/>
      <c r="C388" s="5" t="s">
        <v>681</v>
      </c>
      <c r="D388" s="5" t="s">
        <v>1081</v>
      </c>
      <c r="E388" s="5" t="s">
        <v>1154</v>
      </c>
      <c r="F388" s="19">
        <v>8</v>
      </c>
      <c r="G388" s="19">
        <v>0</v>
      </c>
      <c r="H388" s="19">
        <f>F388*AE388</f>
        <v>0</v>
      </c>
      <c r="I388" s="19">
        <f>J388-H388</f>
        <v>0</v>
      </c>
      <c r="J388" s="19">
        <f>F388*G388</f>
        <v>0</v>
      </c>
      <c r="K388" s="19">
        <v>0.003</v>
      </c>
      <c r="L388" s="19">
        <f>F388*K388</f>
        <v>0.024</v>
      </c>
      <c r="M388" s="33" t="s">
        <v>1177</v>
      </c>
      <c r="P388" s="37">
        <f>IF(AG388="5",J388,0)</f>
        <v>0</v>
      </c>
      <c r="R388" s="37">
        <f>IF(AG388="1",H388,0)</f>
        <v>0</v>
      </c>
      <c r="S388" s="37">
        <f>IF(AG388="1",I388,0)</f>
        <v>0</v>
      </c>
      <c r="T388" s="37">
        <f>IF(AG388="7",H388,0)</f>
        <v>0</v>
      </c>
      <c r="U388" s="37">
        <f>IF(AG388="7",I388,0)</f>
        <v>0</v>
      </c>
      <c r="V388" s="37">
        <f>IF(AG388="2",H388,0)</f>
        <v>0</v>
      </c>
      <c r="W388" s="37">
        <f>IF(AG388="2",I388,0)</f>
        <v>0</v>
      </c>
      <c r="X388" s="37">
        <f>IF(AG388="0",J388,0)</f>
        <v>0</v>
      </c>
      <c r="Y388" s="28"/>
      <c r="Z388" s="19">
        <f>IF(AD388=0,J388,0)</f>
        <v>0</v>
      </c>
      <c r="AA388" s="19">
        <f>IF(AD388=15,J388,0)</f>
        <v>0</v>
      </c>
      <c r="AB388" s="19">
        <f>IF(AD388=21,J388,0)</f>
        <v>0</v>
      </c>
      <c r="AD388" s="37">
        <v>21</v>
      </c>
      <c r="AE388" s="37">
        <f>G388*0.230647619047619</f>
        <v>0</v>
      </c>
      <c r="AF388" s="37">
        <f>G388*(1-0.230647619047619)</f>
        <v>0</v>
      </c>
      <c r="AG388" s="33" t="s">
        <v>13</v>
      </c>
      <c r="AM388" s="37">
        <f>F388*AE388</f>
        <v>0</v>
      </c>
      <c r="AN388" s="37">
        <f>F388*AF388</f>
        <v>0</v>
      </c>
      <c r="AO388" s="38" t="s">
        <v>1214</v>
      </c>
      <c r="AP388" s="38" t="s">
        <v>1231</v>
      </c>
      <c r="AQ388" s="28" t="s">
        <v>1234</v>
      </c>
      <c r="AS388" s="37">
        <f>AM388+AN388</f>
        <v>0</v>
      </c>
      <c r="AT388" s="37">
        <f>G388/(100-AU388)*100</f>
        <v>0</v>
      </c>
      <c r="AU388" s="37">
        <v>0</v>
      </c>
      <c r="AV388" s="37">
        <f>L388</f>
        <v>0.024</v>
      </c>
    </row>
    <row r="389" ht="25.5">
      <c r="D389" s="16" t="s">
        <v>1082</v>
      </c>
    </row>
    <row r="390" spans="1:48" ht="12.75">
      <c r="A390" s="5" t="s">
        <v>325</v>
      </c>
      <c r="B390" s="5"/>
      <c r="C390" s="5" t="s">
        <v>682</v>
      </c>
      <c r="D390" s="5" t="s">
        <v>1083</v>
      </c>
      <c r="E390" s="5" t="s">
        <v>1152</v>
      </c>
      <c r="F390" s="19">
        <v>0.3779</v>
      </c>
      <c r="G390" s="19">
        <v>0</v>
      </c>
      <c r="H390" s="19">
        <f>F390*AE390</f>
        <v>0</v>
      </c>
      <c r="I390" s="19">
        <f>J390-H390</f>
        <v>0</v>
      </c>
      <c r="J390" s="19">
        <f>F390*G390</f>
        <v>0</v>
      </c>
      <c r="K390" s="19">
        <v>0</v>
      </c>
      <c r="L390" s="19">
        <f>F390*K390</f>
        <v>0</v>
      </c>
      <c r="M390" s="33" t="s">
        <v>1177</v>
      </c>
      <c r="P390" s="37">
        <f>IF(AG390="5",J390,0)</f>
        <v>0</v>
      </c>
      <c r="R390" s="37">
        <f>IF(AG390="1",H390,0)</f>
        <v>0</v>
      </c>
      <c r="S390" s="37">
        <f>IF(AG390="1",I390,0)</f>
        <v>0</v>
      </c>
      <c r="T390" s="37">
        <f>IF(AG390="7",H390,0)</f>
        <v>0</v>
      </c>
      <c r="U390" s="37">
        <f>IF(AG390="7",I390,0)</f>
        <v>0</v>
      </c>
      <c r="V390" s="37">
        <f>IF(AG390="2",H390,0)</f>
        <v>0</v>
      </c>
      <c r="W390" s="37">
        <f>IF(AG390="2",I390,0)</f>
        <v>0</v>
      </c>
      <c r="X390" s="37">
        <f>IF(AG390="0",J390,0)</f>
        <v>0</v>
      </c>
      <c r="Y390" s="28"/>
      <c r="Z390" s="19">
        <f>IF(AD390=0,J390,0)</f>
        <v>0</v>
      </c>
      <c r="AA390" s="19">
        <f>IF(AD390=15,J390,0)</f>
        <v>0</v>
      </c>
      <c r="AB390" s="19">
        <f>IF(AD390=21,J390,0)</f>
        <v>0</v>
      </c>
      <c r="AD390" s="37">
        <v>21</v>
      </c>
      <c r="AE390" s="37">
        <f>G390*0</f>
        <v>0</v>
      </c>
      <c r="AF390" s="37">
        <f>G390*(1-0)</f>
        <v>0</v>
      </c>
      <c r="AG390" s="33" t="s">
        <v>11</v>
      </c>
      <c r="AM390" s="37">
        <f>F390*AE390</f>
        <v>0</v>
      </c>
      <c r="AN390" s="37">
        <f>F390*AF390</f>
        <v>0</v>
      </c>
      <c r="AO390" s="38" t="s">
        <v>1214</v>
      </c>
      <c r="AP390" s="38" t="s">
        <v>1231</v>
      </c>
      <c r="AQ390" s="28" t="s">
        <v>1234</v>
      </c>
      <c r="AS390" s="37">
        <f>AM390+AN390</f>
        <v>0</v>
      </c>
      <c r="AT390" s="37">
        <f>G390/(100-AU390)*100</f>
        <v>0</v>
      </c>
      <c r="AU390" s="37">
        <v>0</v>
      </c>
      <c r="AV390" s="37">
        <f>L390</f>
        <v>0</v>
      </c>
    </row>
    <row r="391" spans="1:37" ht="12.75">
      <c r="A391" s="6"/>
      <c r="B391" s="14"/>
      <c r="C391" s="14" t="s">
        <v>683</v>
      </c>
      <c r="D391" s="14" t="s">
        <v>1084</v>
      </c>
      <c r="E391" s="6" t="s">
        <v>6</v>
      </c>
      <c r="F391" s="6" t="s">
        <v>6</v>
      </c>
      <c r="G391" s="6" t="s">
        <v>6</v>
      </c>
      <c r="H391" s="40">
        <f>SUM(H392:H408)</f>
        <v>0</v>
      </c>
      <c r="I391" s="40">
        <f>SUM(I392:I408)</f>
        <v>0</v>
      </c>
      <c r="J391" s="40">
        <f>H391+I391</f>
        <v>0</v>
      </c>
      <c r="K391" s="28"/>
      <c r="L391" s="40">
        <f>SUM(L392:L408)</f>
        <v>1.687</v>
      </c>
      <c r="M391" s="28"/>
      <c r="Y391" s="28"/>
      <c r="AI391" s="40">
        <f>SUM(Z392:Z408)</f>
        <v>0</v>
      </c>
      <c r="AJ391" s="40">
        <f>SUM(AA392:AA408)</f>
        <v>0</v>
      </c>
      <c r="AK391" s="40">
        <f>SUM(AB392:AB408)</f>
        <v>0</v>
      </c>
    </row>
    <row r="392" spans="1:48" ht="12.75">
      <c r="A392" s="5" t="s">
        <v>326</v>
      </c>
      <c r="B392" s="5"/>
      <c r="C392" s="5" t="s">
        <v>684</v>
      </c>
      <c r="D392" s="5" t="s">
        <v>1085</v>
      </c>
      <c r="E392" s="5" t="s">
        <v>1153</v>
      </c>
      <c r="F392" s="19">
        <v>1</v>
      </c>
      <c r="G392" s="19">
        <v>0</v>
      </c>
      <c r="H392" s="19">
        <f>F392*AE392</f>
        <v>0</v>
      </c>
      <c r="I392" s="19">
        <f>J392-H392</f>
        <v>0</v>
      </c>
      <c r="J392" s="19">
        <f>F392*G392</f>
        <v>0</v>
      </c>
      <c r="K392" s="19">
        <v>0.221</v>
      </c>
      <c r="L392" s="19">
        <f>F392*K392</f>
        <v>0.221</v>
      </c>
      <c r="M392" s="33" t="s">
        <v>1177</v>
      </c>
      <c r="P392" s="37">
        <f>IF(AG392="5",J392,0)</f>
        <v>0</v>
      </c>
      <c r="R392" s="37">
        <f>IF(AG392="1",H392,0)</f>
        <v>0</v>
      </c>
      <c r="S392" s="37">
        <f>IF(AG392="1",I392,0)</f>
        <v>0</v>
      </c>
      <c r="T392" s="37">
        <f>IF(AG392="7",H392,0)</f>
        <v>0</v>
      </c>
      <c r="U392" s="37">
        <f>IF(AG392="7",I392,0)</f>
        <v>0</v>
      </c>
      <c r="V392" s="37">
        <f>IF(AG392="2",H392,0)</f>
        <v>0</v>
      </c>
      <c r="W392" s="37">
        <f>IF(AG392="2",I392,0)</f>
        <v>0</v>
      </c>
      <c r="X392" s="37">
        <f>IF(AG392="0",J392,0)</f>
        <v>0</v>
      </c>
      <c r="Y392" s="28"/>
      <c r="Z392" s="19">
        <f>IF(AD392=0,J392,0)</f>
        <v>0</v>
      </c>
      <c r="AA392" s="19">
        <f>IF(AD392=15,J392,0)</f>
        <v>0</v>
      </c>
      <c r="AB392" s="19">
        <f>IF(AD392=21,J392,0)</f>
        <v>0</v>
      </c>
      <c r="AD392" s="37">
        <v>21</v>
      </c>
      <c r="AE392" s="37">
        <f>G392*0.84</f>
        <v>0</v>
      </c>
      <c r="AF392" s="37">
        <f>G392*(1-0.84)</f>
        <v>0</v>
      </c>
      <c r="AG392" s="33" t="s">
        <v>13</v>
      </c>
      <c r="AM392" s="37">
        <f>F392*AE392</f>
        <v>0</v>
      </c>
      <c r="AN392" s="37">
        <f>F392*AF392</f>
        <v>0</v>
      </c>
      <c r="AO392" s="38" t="s">
        <v>1215</v>
      </c>
      <c r="AP392" s="38" t="s">
        <v>1231</v>
      </c>
      <c r="AQ392" s="28" t="s">
        <v>1234</v>
      </c>
      <c r="AS392" s="37">
        <f>AM392+AN392</f>
        <v>0</v>
      </c>
      <c r="AT392" s="37">
        <f>G392/(100-AU392)*100</f>
        <v>0</v>
      </c>
      <c r="AU392" s="37">
        <v>0</v>
      </c>
      <c r="AV392" s="37">
        <f>L392</f>
        <v>0.221</v>
      </c>
    </row>
    <row r="393" ht="12.75">
      <c r="D393" s="16" t="s">
        <v>1086</v>
      </c>
    </row>
    <row r="394" spans="1:48" ht="12.75">
      <c r="A394" s="5" t="s">
        <v>327</v>
      </c>
      <c r="B394" s="5"/>
      <c r="C394" s="5" t="s">
        <v>685</v>
      </c>
      <c r="D394" s="5" t="s">
        <v>1087</v>
      </c>
      <c r="E394" s="5" t="s">
        <v>1153</v>
      </c>
      <c r="F394" s="19">
        <v>1</v>
      </c>
      <c r="G394" s="19">
        <v>0</v>
      </c>
      <c r="H394" s="19">
        <f>F394*AE394</f>
        <v>0</v>
      </c>
      <c r="I394" s="19">
        <f>J394-H394</f>
        <v>0</v>
      </c>
      <c r="J394" s="19">
        <f>F394*G394</f>
        <v>0</v>
      </c>
      <c r="K394" s="19">
        <v>0.12</v>
      </c>
      <c r="L394" s="19">
        <f>F394*K394</f>
        <v>0.12</v>
      </c>
      <c r="M394" s="33" t="s">
        <v>1177</v>
      </c>
      <c r="P394" s="37">
        <f>IF(AG394="5",J394,0)</f>
        <v>0</v>
      </c>
      <c r="R394" s="37">
        <f>IF(AG394="1",H394,0)</f>
        <v>0</v>
      </c>
      <c r="S394" s="37">
        <f>IF(AG394="1",I394,0)</f>
        <v>0</v>
      </c>
      <c r="T394" s="37">
        <f>IF(AG394="7",H394,0)</f>
        <v>0</v>
      </c>
      <c r="U394" s="37">
        <f>IF(AG394="7",I394,0)</f>
        <v>0</v>
      </c>
      <c r="V394" s="37">
        <f>IF(AG394="2",H394,0)</f>
        <v>0</v>
      </c>
      <c r="W394" s="37">
        <f>IF(AG394="2",I394,0)</f>
        <v>0</v>
      </c>
      <c r="X394" s="37">
        <f>IF(AG394="0",J394,0)</f>
        <v>0</v>
      </c>
      <c r="Y394" s="28"/>
      <c r="Z394" s="19">
        <f>IF(AD394=0,J394,0)</f>
        <v>0</v>
      </c>
      <c r="AA394" s="19">
        <f>IF(AD394=15,J394,0)</f>
        <v>0</v>
      </c>
      <c r="AB394" s="19">
        <f>IF(AD394=21,J394,0)</f>
        <v>0</v>
      </c>
      <c r="AD394" s="37">
        <v>21</v>
      </c>
      <c r="AE394" s="37">
        <f>G394*0.84</f>
        <v>0</v>
      </c>
      <c r="AF394" s="37">
        <f>G394*(1-0.84)</f>
        <v>0</v>
      </c>
      <c r="AG394" s="33" t="s">
        <v>13</v>
      </c>
      <c r="AM394" s="37">
        <f>F394*AE394</f>
        <v>0</v>
      </c>
      <c r="AN394" s="37">
        <f>F394*AF394</f>
        <v>0</v>
      </c>
      <c r="AO394" s="38" t="s">
        <v>1215</v>
      </c>
      <c r="AP394" s="38" t="s">
        <v>1231</v>
      </c>
      <c r="AQ394" s="28" t="s">
        <v>1234</v>
      </c>
      <c r="AS394" s="37">
        <f>AM394+AN394</f>
        <v>0</v>
      </c>
      <c r="AT394" s="37">
        <f>G394/(100-AU394)*100</f>
        <v>0</v>
      </c>
      <c r="AU394" s="37">
        <v>0</v>
      </c>
      <c r="AV394" s="37">
        <f>L394</f>
        <v>0.12</v>
      </c>
    </row>
    <row r="395" ht="12.75">
      <c r="D395" s="16" t="s">
        <v>1086</v>
      </c>
    </row>
    <row r="396" spans="1:48" ht="12.75">
      <c r="A396" s="5" t="s">
        <v>328</v>
      </c>
      <c r="B396" s="5"/>
      <c r="C396" s="5" t="s">
        <v>686</v>
      </c>
      <c r="D396" s="5" t="s">
        <v>1088</v>
      </c>
      <c r="E396" s="5" t="s">
        <v>1153</v>
      </c>
      <c r="F396" s="19">
        <v>3</v>
      </c>
      <c r="G396" s="19">
        <v>0</v>
      </c>
      <c r="H396" s="19">
        <f>F396*AE396</f>
        <v>0</v>
      </c>
      <c r="I396" s="19">
        <f>J396-H396</f>
        <v>0</v>
      </c>
      <c r="J396" s="19">
        <f>F396*G396</f>
        <v>0</v>
      </c>
      <c r="K396" s="19">
        <v>0.192</v>
      </c>
      <c r="L396" s="19">
        <f>F396*K396</f>
        <v>0.5760000000000001</v>
      </c>
      <c r="M396" s="33" t="s">
        <v>1177</v>
      </c>
      <c r="P396" s="37">
        <f>IF(AG396="5",J396,0)</f>
        <v>0</v>
      </c>
      <c r="R396" s="37">
        <f>IF(AG396="1",H396,0)</f>
        <v>0</v>
      </c>
      <c r="S396" s="37">
        <f>IF(AG396="1",I396,0)</f>
        <v>0</v>
      </c>
      <c r="T396" s="37">
        <f>IF(AG396="7",H396,0)</f>
        <v>0</v>
      </c>
      <c r="U396" s="37">
        <f>IF(AG396="7",I396,0)</f>
        <v>0</v>
      </c>
      <c r="V396" s="37">
        <f>IF(AG396="2",H396,0)</f>
        <v>0</v>
      </c>
      <c r="W396" s="37">
        <f>IF(AG396="2",I396,0)</f>
        <v>0</v>
      </c>
      <c r="X396" s="37">
        <f>IF(AG396="0",J396,0)</f>
        <v>0</v>
      </c>
      <c r="Y396" s="28"/>
      <c r="Z396" s="19">
        <f>IF(AD396=0,J396,0)</f>
        <v>0</v>
      </c>
      <c r="AA396" s="19">
        <f>IF(AD396=15,J396,0)</f>
        <v>0</v>
      </c>
      <c r="AB396" s="19">
        <f>IF(AD396=21,J396,0)</f>
        <v>0</v>
      </c>
      <c r="AD396" s="37">
        <v>21</v>
      </c>
      <c r="AE396" s="37">
        <f>G396*0.84</f>
        <v>0</v>
      </c>
      <c r="AF396" s="37">
        <f>G396*(1-0.84)</f>
        <v>0</v>
      </c>
      <c r="AG396" s="33" t="s">
        <v>13</v>
      </c>
      <c r="AM396" s="37">
        <f>F396*AE396</f>
        <v>0</v>
      </c>
      <c r="AN396" s="37">
        <f>F396*AF396</f>
        <v>0</v>
      </c>
      <c r="AO396" s="38" t="s">
        <v>1215</v>
      </c>
      <c r="AP396" s="38" t="s">
        <v>1231</v>
      </c>
      <c r="AQ396" s="28" t="s">
        <v>1234</v>
      </c>
      <c r="AS396" s="37">
        <f>AM396+AN396</f>
        <v>0</v>
      </c>
      <c r="AT396" s="37">
        <f>G396/(100-AU396)*100</f>
        <v>0</v>
      </c>
      <c r="AU396" s="37">
        <v>0</v>
      </c>
      <c r="AV396" s="37">
        <f>L396</f>
        <v>0.5760000000000001</v>
      </c>
    </row>
    <row r="397" ht="12.75">
      <c r="D397" s="16" t="s">
        <v>1086</v>
      </c>
    </row>
    <row r="398" spans="1:48" ht="12.75">
      <c r="A398" s="5" t="s">
        <v>329</v>
      </c>
      <c r="B398" s="5"/>
      <c r="C398" s="5" t="s">
        <v>687</v>
      </c>
      <c r="D398" s="5" t="s">
        <v>1089</v>
      </c>
      <c r="E398" s="5" t="s">
        <v>1153</v>
      </c>
      <c r="F398" s="19">
        <v>6</v>
      </c>
      <c r="G398" s="19">
        <v>0</v>
      </c>
      <c r="H398" s="19">
        <f>F398*AE398</f>
        <v>0</v>
      </c>
      <c r="I398" s="19">
        <f>J398-H398</f>
        <v>0</v>
      </c>
      <c r="J398" s="19">
        <f>F398*G398</f>
        <v>0</v>
      </c>
      <c r="K398" s="19">
        <v>0.025</v>
      </c>
      <c r="L398" s="19">
        <f>F398*K398</f>
        <v>0.15000000000000002</v>
      </c>
      <c r="M398" s="33" t="s">
        <v>1177</v>
      </c>
      <c r="P398" s="37">
        <f>IF(AG398="5",J398,0)</f>
        <v>0</v>
      </c>
      <c r="R398" s="37">
        <f>IF(AG398="1",H398,0)</f>
        <v>0</v>
      </c>
      <c r="S398" s="37">
        <f>IF(AG398="1",I398,0)</f>
        <v>0</v>
      </c>
      <c r="T398" s="37">
        <f>IF(AG398="7",H398,0)</f>
        <v>0</v>
      </c>
      <c r="U398" s="37">
        <f>IF(AG398="7",I398,0)</f>
        <v>0</v>
      </c>
      <c r="V398" s="37">
        <f>IF(AG398="2",H398,0)</f>
        <v>0</v>
      </c>
      <c r="W398" s="37">
        <f>IF(AG398="2",I398,0)</f>
        <v>0</v>
      </c>
      <c r="X398" s="37">
        <f>IF(AG398="0",J398,0)</f>
        <v>0</v>
      </c>
      <c r="Y398" s="28"/>
      <c r="Z398" s="19">
        <f>IF(AD398=0,J398,0)</f>
        <v>0</v>
      </c>
      <c r="AA398" s="19">
        <f>IF(AD398=15,J398,0)</f>
        <v>0</v>
      </c>
      <c r="AB398" s="19">
        <f>IF(AD398=21,J398,0)</f>
        <v>0</v>
      </c>
      <c r="AD398" s="37">
        <v>21</v>
      </c>
      <c r="AE398" s="37">
        <f>G398*0.87</f>
        <v>0</v>
      </c>
      <c r="AF398" s="37">
        <f>G398*(1-0.87)</f>
        <v>0</v>
      </c>
      <c r="AG398" s="33" t="s">
        <v>13</v>
      </c>
      <c r="AM398" s="37">
        <f>F398*AE398</f>
        <v>0</v>
      </c>
      <c r="AN398" s="37">
        <f>F398*AF398</f>
        <v>0</v>
      </c>
      <c r="AO398" s="38" t="s">
        <v>1215</v>
      </c>
      <c r="AP398" s="38" t="s">
        <v>1231</v>
      </c>
      <c r="AQ398" s="28" t="s">
        <v>1234</v>
      </c>
      <c r="AS398" s="37">
        <f>AM398+AN398</f>
        <v>0</v>
      </c>
      <c r="AT398" s="37">
        <f>G398/(100-AU398)*100</f>
        <v>0</v>
      </c>
      <c r="AU398" s="37">
        <v>0</v>
      </c>
      <c r="AV398" s="37">
        <f>L398</f>
        <v>0.15000000000000002</v>
      </c>
    </row>
    <row r="399" ht="12.75">
      <c r="D399" s="16" t="s">
        <v>1086</v>
      </c>
    </row>
    <row r="400" spans="1:48" ht="12.75">
      <c r="A400" s="5" t="s">
        <v>330</v>
      </c>
      <c r="B400" s="5"/>
      <c r="C400" s="5" t="s">
        <v>688</v>
      </c>
      <c r="D400" s="5" t="s">
        <v>1089</v>
      </c>
      <c r="E400" s="5" t="s">
        <v>1153</v>
      </c>
      <c r="F400" s="19">
        <v>1</v>
      </c>
      <c r="G400" s="19">
        <v>0</v>
      </c>
      <c r="H400" s="19">
        <f>F400*AE400</f>
        <v>0</v>
      </c>
      <c r="I400" s="19">
        <f>J400-H400</f>
        <v>0</v>
      </c>
      <c r="J400" s="19">
        <f>F400*G400</f>
        <v>0</v>
      </c>
      <c r="K400" s="19">
        <v>0.021</v>
      </c>
      <c r="L400" s="19">
        <f>F400*K400</f>
        <v>0.021</v>
      </c>
      <c r="M400" s="33" t="s">
        <v>1177</v>
      </c>
      <c r="P400" s="37">
        <f>IF(AG400="5",J400,0)</f>
        <v>0</v>
      </c>
      <c r="R400" s="37">
        <f>IF(AG400="1",H400,0)</f>
        <v>0</v>
      </c>
      <c r="S400" s="37">
        <f>IF(AG400="1",I400,0)</f>
        <v>0</v>
      </c>
      <c r="T400" s="37">
        <f>IF(AG400="7",H400,0)</f>
        <v>0</v>
      </c>
      <c r="U400" s="37">
        <f>IF(AG400="7",I400,0)</f>
        <v>0</v>
      </c>
      <c r="V400" s="37">
        <f>IF(AG400="2",H400,0)</f>
        <v>0</v>
      </c>
      <c r="W400" s="37">
        <f>IF(AG400="2",I400,0)</f>
        <v>0</v>
      </c>
      <c r="X400" s="37">
        <f>IF(AG400="0",J400,0)</f>
        <v>0</v>
      </c>
      <c r="Y400" s="28"/>
      <c r="Z400" s="19">
        <f>IF(AD400=0,J400,0)</f>
        <v>0</v>
      </c>
      <c r="AA400" s="19">
        <f>IF(AD400=15,J400,0)</f>
        <v>0</v>
      </c>
      <c r="AB400" s="19">
        <f>IF(AD400=21,J400,0)</f>
        <v>0</v>
      </c>
      <c r="AD400" s="37">
        <v>21</v>
      </c>
      <c r="AE400" s="37">
        <f>G400*0.87</f>
        <v>0</v>
      </c>
      <c r="AF400" s="37">
        <f>G400*(1-0.87)</f>
        <v>0</v>
      </c>
      <c r="AG400" s="33" t="s">
        <v>13</v>
      </c>
      <c r="AM400" s="37">
        <f>F400*AE400</f>
        <v>0</v>
      </c>
      <c r="AN400" s="37">
        <f>F400*AF400</f>
        <v>0</v>
      </c>
      <c r="AO400" s="38" t="s">
        <v>1215</v>
      </c>
      <c r="AP400" s="38" t="s">
        <v>1231</v>
      </c>
      <c r="AQ400" s="28" t="s">
        <v>1234</v>
      </c>
      <c r="AS400" s="37">
        <f>AM400+AN400</f>
        <v>0</v>
      </c>
      <c r="AT400" s="37">
        <f>G400/(100-AU400)*100</f>
        <v>0</v>
      </c>
      <c r="AU400" s="37">
        <v>0</v>
      </c>
      <c r="AV400" s="37">
        <f>L400</f>
        <v>0.021</v>
      </c>
    </row>
    <row r="401" ht="12.75">
      <c r="D401" s="16" t="s">
        <v>1086</v>
      </c>
    </row>
    <row r="402" spans="1:48" ht="12.75">
      <c r="A402" s="5" t="s">
        <v>331</v>
      </c>
      <c r="B402" s="5"/>
      <c r="C402" s="5" t="s">
        <v>689</v>
      </c>
      <c r="D402" s="5" t="s">
        <v>1090</v>
      </c>
      <c r="E402" s="5" t="s">
        <v>1153</v>
      </c>
      <c r="F402" s="19">
        <v>8</v>
      </c>
      <c r="G402" s="19">
        <v>0</v>
      </c>
      <c r="H402" s="19">
        <f>F402*AE402</f>
        <v>0</v>
      </c>
      <c r="I402" s="19">
        <f>J402-H402</f>
        <v>0</v>
      </c>
      <c r="J402" s="19">
        <f>F402*G402</f>
        <v>0</v>
      </c>
      <c r="K402" s="19">
        <v>0.065</v>
      </c>
      <c r="L402" s="19">
        <f>F402*K402</f>
        <v>0.52</v>
      </c>
      <c r="M402" s="33" t="s">
        <v>1177</v>
      </c>
      <c r="P402" s="37">
        <f>IF(AG402="5",J402,0)</f>
        <v>0</v>
      </c>
      <c r="R402" s="37">
        <f>IF(AG402="1",H402,0)</f>
        <v>0</v>
      </c>
      <c r="S402" s="37">
        <f>IF(AG402="1",I402,0)</f>
        <v>0</v>
      </c>
      <c r="T402" s="37">
        <f>IF(AG402="7",H402,0)</f>
        <v>0</v>
      </c>
      <c r="U402" s="37">
        <f>IF(AG402="7",I402,0)</f>
        <v>0</v>
      </c>
      <c r="V402" s="37">
        <f>IF(AG402="2",H402,0)</f>
        <v>0</v>
      </c>
      <c r="W402" s="37">
        <f>IF(AG402="2",I402,0)</f>
        <v>0</v>
      </c>
      <c r="X402" s="37">
        <f>IF(AG402="0",J402,0)</f>
        <v>0</v>
      </c>
      <c r="Y402" s="28"/>
      <c r="Z402" s="19">
        <f>IF(AD402=0,J402,0)</f>
        <v>0</v>
      </c>
      <c r="AA402" s="19">
        <f>IF(AD402=15,J402,0)</f>
        <v>0</v>
      </c>
      <c r="AB402" s="19">
        <f>IF(AD402=21,J402,0)</f>
        <v>0</v>
      </c>
      <c r="AD402" s="37">
        <v>21</v>
      </c>
      <c r="AE402" s="37">
        <f>G402*0.87</f>
        <v>0</v>
      </c>
      <c r="AF402" s="37">
        <f>G402*(1-0.87)</f>
        <v>0</v>
      </c>
      <c r="AG402" s="33" t="s">
        <v>13</v>
      </c>
      <c r="AM402" s="37">
        <f>F402*AE402</f>
        <v>0</v>
      </c>
      <c r="AN402" s="37">
        <f>F402*AF402</f>
        <v>0</v>
      </c>
      <c r="AO402" s="38" t="s">
        <v>1215</v>
      </c>
      <c r="AP402" s="38" t="s">
        <v>1231</v>
      </c>
      <c r="AQ402" s="28" t="s">
        <v>1234</v>
      </c>
      <c r="AS402" s="37">
        <f>AM402+AN402</f>
        <v>0</v>
      </c>
      <c r="AT402" s="37">
        <f>G402/(100-AU402)*100</f>
        <v>0</v>
      </c>
      <c r="AU402" s="37">
        <v>0</v>
      </c>
      <c r="AV402" s="37">
        <f>L402</f>
        <v>0.52</v>
      </c>
    </row>
    <row r="403" ht="25.5">
      <c r="D403" s="16" t="s">
        <v>1091</v>
      </c>
    </row>
    <row r="404" spans="1:48" ht="12.75">
      <c r="A404" s="5" t="s">
        <v>332</v>
      </c>
      <c r="B404" s="5"/>
      <c r="C404" s="5" t="s">
        <v>690</v>
      </c>
      <c r="D404" s="5" t="s">
        <v>1092</v>
      </c>
      <c r="E404" s="5" t="s">
        <v>1153</v>
      </c>
      <c r="F404" s="19">
        <v>1</v>
      </c>
      <c r="G404" s="19">
        <v>0</v>
      </c>
      <c r="H404" s="19">
        <f>F404*AE404</f>
        <v>0</v>
      </c>
      <c r="I404" s="19">
        <f>J404-H404</f>
        <v>0</v>
      </c>
      <c r="J404" s="19">
        <f>F404*G404</f>
        <v>0</v>
      </c>
      <c r="K404" s="19">
        <v>0.07</v>
      </c>
      <c r="L404" s="19">
        <f>F404*K404</f>
        <v>0.07</v>
      </c>
      <c r="M404" s="33" t="s">
        <v>1177</v>
      </c>
      <c r="P404" s="37">
        <f>IF(AG404="5",J404,0)</f>
        <v>0</v>
      </c>
      <c r="R404" s="37">
        <f>IF(AG404="1",H404,0)</f>
        <v>0</v>
      </c>
      <c r="S404" s="37">
        <f>IF(AG404="1",I404,0)</f>
        <v>0</v>
      </c>
      <c r="T404" s="37">
        <f>IF(AG404="7",H404,0)</f>
        <v>0</v>
      </c>
      <c r="U404" s="37">
        <f>IF(AG404="7",I404,0)</f>
        <v>0</v>
      </c>
      <c r="V404" s="37">
        <f>IF(AG404="2",H404,0)</f>
        <v>0</v>
      </c>
      <c r="W404" s="37">
        <f>IF(AG404="2",I404,0)</f>
        <v>0</v>
      </c>
      <c r="X404" s="37">
        <f>IF(AG404="0",J404,0)</f>
        <v>0</v>
      </c>
      <c r="Y404" s="28"/>
      <c r="Z404" s="19">
        <f>IF(AD404=0,J404,0)</f>
        <v>0</v>
      </c>
      <c r="AA404" s="19">
        <f>IF(AD404=15,J404,0)</f>
        <v>0</v>
      </c>
      <c r="AB404" s="19">
        <f>IF(AD404=21,J404,0)</f>
        <v>0</v>
      </c>
      <c r="AD404" s="37">
        <v>21</v>
      </c>
      <c r="AE404" s="37">
        <f>G404*0.87</f>
        <v>0</v>
      </c>
      <c r="AF404" s="37">
        <f>G404*(1-0.87)</f>
        <v>0</v>
      </c>
      <c r="AG404" s="33" t="s">
        <v>13</v>
      </c>
      <c r="AM404" s="37">
        <f>F404*AE404</f>
        <v>0</v>
      </c>
      <c r="AN404" s="37">
        <f>F404*AF404</f>
        <v>0</v>
      </c>
      <c r="AO404" s="38" t="s">
        <v>1215</v>
      </c>
      <c r="AP404" s="38" t="s">
        <v>1231</v>
      </c>
      <c r="AQ404" s="28" t="s">
        <v>1234</v>
      </c>
      <c r="AS404" s="37">
        <f>AM404+AN404</f>
        <v>0</v>
      </c>
      <c r="AT404" s="37">
        <f>G404/(100-AU404)*100</f>
        <v>0</v>
      </c>
      <c r="AU404" s="37">
        <v>0</v>
      </c>
      <c r="AV404" s="37">
        <f>L404</f>
        <v>0.07</v>
      </c>
    </row>
    <row r="405" ht="25.5">
      <c r="D405" s="16" t="s">
        <v>1091</v>
      </c>
    </row>
    <row r="406" spans="1:48" ht="12.75">
      <c r="A406" s="5" t="s">
        <v>333</v>
      </c>
      <c r="B406" s="5"/>
      <c r="C406" s="5" t="s">
        <v>691</v>
      </c>
      <c r="D406" s="5" t="s">
        <v>1093</v>
      </c>
      <c r="E406" s="5" t="s">
        <v>1153</v>
      </c>
      <c r="F406" s="19">
        <v>3</v>
      </c>
      <c r="G406" s="19">
        <v>0</v>
      </c>
      <c r="H406" s="19">
        <f>F406*AE406</f>
        <v>0</v>
      </c>
      <c r="I406" s="19">
        <f>J406-H406</f>
        <v>0</v>
      </c>
      <c r="J406" s="19">
        <f>F406*G406</f>
        <v>0</v>
      </c>
      <c r="K406" s="19">
        <v>0.003</v>
      </c>
      <c r="L406" s="19">
        <f>F406*K406</f>
        <v>0.009000000000000001</v>
      </c>
      <c r="M406" s="33" t="s">
        <v>1177</v>
      </c>
      <c r="P406" s="37">
        <f>IF(AG406="5",J406,0)</f>
        <v>0</v>
      </c>
      <c r="R406" s="37">
        <f>IF(AG406="1",H406,0)</f>
        <v>0</v>
      </c>
      <c r="S406" s="37">
        <f>IF(AG406="1",I406,0)</f>
        <v>0</v>
      </c>
      <c r="T406" s="37">
        <f>IF(AG406="7",H406,0)</f>
        <v>0</v>
      </c>
      <c r="U406" s="37">
        <f>IF(AG406="7",I406,0)</f>
        <v>0</v>
      </c>
      <c r="V406" s="37">
        <f>IF(AG406="2",H406,0)</f>
        <v>0</v>
      </c>
      <c r="W406" s="37">
        <f>IF(AG406="2",I406,0)</f>
        <v>0</v>
      </c>
      <c r="X406" s="37">
        <f>IF(AG406="0",J406,0)</f>
        <v>0</v>
      </c>
      <c r="Y406" s="28"/>
      <c r="Z406" s="19">
        <f>IF(AD406=0,J406,0)</f>
        <v>0</v>
      </c>
      <c r="AA406" s="19">
        <f>IF(AD406=15,J406,0)</f>
        <v>0</v>
      </c>
      <c r="AB406" s="19">
        <f>IF(AD406=21,J406,0)</f>
        <v>0</v>
      </c>
      <c r="AD406" s="37">
        <v>21</v>
      </c>
      <c r="AE406" s="37">
        <f>G406*0.87</f>
        <v>0</v>
      </c>
      <c r="AF406" s="37">
        <f>G406*(1-0.87)</f>
        <v>0</v>
      </c>
      <c r="AG406" s="33" t="s">
        <v>13</v>
      </c>
      <c r="AM406" s="37">
        <f>F406*AE406</f>
        <v>0</v>
      </c>
      <c r="AN406" s="37">
        <f>F406*AF406</f>
        <v>0</v>
      </c>
      <c r="AO406" s="38" t="s">
        <v>1215</v>
      </c>
      <c r="AP406" s="38" t="s">
        <v>1231</v>
      </c>
      <c r="AQ406" s="28" t="s">
        <v>1234</v>
      </c>
      <c r="AS406" s="37">
        <f>AM406+AN406</f>
        <v>0</v>
      </c>
      <c r="AT406" s="37">
        <f>G406/(100-AU406)*100</f>
        <v>0</v>
      </c>
      <c r="AU406" s="37">
        <v>0</v>
      </c>
      <c r="AV406" s="37">
        <f>L406</f>
        <v>0.009000000000000001</v>
      </c>
    </row>
    <row r="407" ht="12.75">
      <c r="D407" s="16" t="s">
        <v>1086</v>
      </c>
    </row>
    <row r="408" spans="1:48" ht="12.75">
      <c r="A408" s="5" t="s">
        <v>334</v>
      </c>
      <c r="B408" s="5"/>
      <c r="C408" s="5" t="s">
        <v>692</v>
      </c>
      <c r="D408" s="5" t="s">
        <v>1094</v>
      </c>
      <c r="E408" s="5" t="s">
        <v>1152</v>
      </c>
      <c r="F408" s="19">
        <v>1.687</v>
      </c>
      <c r="G408" s="19">
        <v>0</v>
      </c>
      <c r="H408" s="19">
        <f>F408*AE408</f>
        <v>0</v>
      </c>
      <c r="I408" s="19">
        <f>J408-H408</f>
        <v>0</v>
      </c>
      <c r="J408" s="19">
        <f>F408*G408</f>
        <v>0</v>
      </c>
      <c r="K408" s="19">
        <v>0</v>
      </c>
      <c r="L408" s="19">
        <f>F408*K408</f>
        <v>0</v>
      </c>
      <c r="M408" s="33" t="s">
        <v>1177</v>
      </c>
      <c r="P408" s="37">
        <f>IF(AG408="5",J408,0)</f>
        <v>0</v>
      </c>
      <c r="R408" s="37">
        <f>IF(AG408="1",H408,0)</f>
        <v>0</v>
      </c>
      <c r="S408" s="37">
        <f>IF(AG408="1",I408,0)</f>
        <v>0</v>
      </c>
      <c r="T408" s="37">
        <f>IF(AG408="7",H408,0)</f>
        <v>0</v>
      </c>
      <c r="U408" s="37">
        <f>IF(AG408="7",I408,0)</f>
        <v>0</v>
      </c>
      <c r="V408" s="37">
        <f>IF(AG408="2",H408,0)</f>
        <v>0</v>
      </c>
      <c r="W408" s="37">
        <f>IF(AG408="2",I408,0)</f>
        <v>0</v>
      </c>
      <c r="X408" s="37">
        <f>IF(AG408="0",J408,0)</f>
        <v>0</v>
      </c>
      <c r="Y408" s="28"/>
      <c r="Z408" s="19">
        <f>IF(AD408=0,J408,0)</f>
        <v>0</v>
      </c>
      <c r="AA408" s="19">
        <f>IF(AD408=15,J408,0)</f>
        <v>0</v>
      </c>
      <c r="AB408" s="19">
        <f>IF(AD408=21,J408,0)</f>
        <v>0</v>
      </c>
      <c r="AD408" s="37">
        <v>21</v>
      </c>
      <c r="AE408" s="37">
        <f>G408*0</f>
        <v>0</v>
      </c>
      <c r="AF408" s="37">
        <f>G408*(1-0)</f>
        <v>0</v>
      </c>
      <c r="AG408" s="33" t="s">
        <v>11</v>
      </c>
      <c r="AM408" s="37">
        <f>F408*AE408</f>
        <v>0</v>
      </c>
      <c r="AN408" s="37">
        <f>F408*AF408</f>
        <v>0</v>
      </c>
      <c r="AO408" s="38" t="s">
        <v>1215</v>
      </c>
      <c r="AP408" s="38" t="s">
        <v>1231</v>
      </c>
      <c r="AQ408" s="28" t="s">
        <v>1234</v>
      </c>
      <c r="AS408" s="37">
        <f>AM408+AN408</f>
        <v>0</v>
      </c>
      <c r="AT408" s="37">
        <f>G408/(100-AU408)*100</f>
        <v>0</v>
      </c>
      <c r="AU408" s="37">
        <v>0</v>
      </c>
      <c r="AV408" s="37">
        <f>L408</f>
        <v>0</v>
      </c>
    </row>
    <row r="409" spans="1:37" ht="12.75">
      <c r="A409" s="6"/>
      <c r="B409" s="14"/>
      <c r="C409" s="14" t="s">
        <v>693</v>
      </c>
      <c r="D409" s="14" t="s">
        <v>1095</v>
      </c>
      <c r="E409" s="6" t="s">
        <v>6</v>
      </c>
      <c r="F409" s="6" t="s">
        <v>6</v>
      </c>
      <c r="G409" s="6" t="s">
        <v>6</v>
      </c>
      <c r="H409" s="40">
        <f>SUM(H410:H421)</f>
        <v>0</v>
      </c>
      <c r="I409" s="40">
        <f>SUM(I410:I421)</f>
        <v>0</v>
      </c>
      <c r="J409" s="40">
        <f>H409+I409</f>
        <v>0</v>
      </c>
      <c r="K409" s="28"/>
      <c r="L409" s="40">
        <f>SUM(L410:L421)</f>
        <v>1.3629999999999995</v>
      </c>
      <c r="M409" s="28"/>
      <c r="Y409" s="28"/>
      <c r="AI409" s="40">
        <f>SUM(Z410:Z421)</f>
        <v>0</v>
      </c>
      <c r="AJ409" s="40">
        <f>SUM(AA410:AA421)</f>
        <v>0</v>
      </c>
      <c r="AK409" s="40">
        <f>SUM(AB410:AB421)</f>
        <v>0</v>
      </c>
    </row>
    <row r="410" spans="1:48" ht="12.75">
      <c r="A410" s="5" t="s">
        <v>335</v>
      </c>
      <c r="B410" s="5"/>
      <c r="C410" s="5" t="s">
        <v>694</v>
      </c>
      <c r="D410" s="5" t="s">
        <v>1096</v>
      </c>
      <c r="E410" s="5" t="s">
        <v>1161</v>
      </c>
      <c r="F410" s="19">
        <v>1313</v>
      </c>
      <c r="G410" s="19">
        <v>0</v>
      </c>
      <c r="H410" s="19">
        <f>F410*AE410</f>
        <v>0</v>
      </c>
      <c r="I410" s="19">
        <f>J410-H410</f>
        <v>0</v>
      </c>
      <c r="J410" s="19">
        <f>F410*G410</f>
        <v>0</v>
      </c>
      <c r="K410" s="19">
        <v>0.001</v>
      </c>
      <c r="L410" s="19">
        <f>F410*K410</f>
        <v>1.313</v>
      </c>
      <c r="M410" s="33" t="s">
        <v>1177</v>
      </c>
      <c r="P410" s="37">
        <f>IF(AG410="5",J410,0)</f>
        <v>0</v>
      </c>
      <c r="R410" s="37">
        <f>IF(AG410="1",H410,0)</f>
        <v>0</v>
      </c>
      <c r="S410" s="37">
        <f>IF(AG410="1",I410,0)</f>
        <v>0</v>
      </c>
      <c r="T410" s="37">
        <f>IF(AG410="7",H410,0)</f>
        <v>0</v>
      </c>
      <c r="U410" s="37">
        <f>IF(AG410="7",I410,0)</f>
        <v>0</v>
      </c>
      <c r="V410" s="37">
        <f>IF(AG410="2",H410,0)</f>
        <v>0</v>
      </c>
      <c r="W410" s="37">
        <f>IF(AG410="2",I410,0)</f>
        <v>0</v>
      </c>
      <c r="X410" s="37">
        <f>IF(AG410="0",J410,0)</f>
        <v>0</v>
      </c>
      <c r="Y410" s="28"/>
      <c r="Z410" s="19">
        <f>IF(AD410=0,J410,0)</f>
        <v>0</v>
      </c>
      <c r="AA410" s="19">
        <f>IF(AD410=15,J410,0)</f>
        <v>0</v>
      </c>
      <c r="AB410" s="19">
        <f>IF(AD410=21,J410,0)</f>
        <v>0</v>
      </c>
      <c r="AD410" s="37">
        <v>21</v>
      </c>
      <c r="AE410" s="37">
        <f>G410*0.74</f>
        <v>0</v>
      </c>
      <c r="AF410" s="37">
        <f>G410*(1-0.74)</f>
        <v>0</v>
      </c>
      <c r="AG410" s="33" t="s">
        <v>13</v>
      </c>
      <c r="AM410" s="37">
        <f>F410*AE410</f>
        <v>0</v>
      </c>
      <c r="AN410" s="37">
        <f>F410*AF410</f>
        <v>0</v>
      </c>
      <c r="AO410" s="38" t="s">
        <v>1216</v>
      </c>
      <c r="AP410" s="38" t="s">
        <v>1231</v>
      </c>
      <c r="AQ410" s="28" t="s">
        <v>1234</v>
      </c>
      <c r="AS410" s="37">
        <f>AM410+AN410</f>
        <v>0</v>
      </c>
      <c r="AT410" s="37">
        <f>G410/(100-AU410)*100</f>
        <v>0</v>
      </c>
      <c r="AU410" s="37">
        <v>0</v>
      </c>
      <c r="AV410" s="37">
        <f>L410</f>
        <v>1.313</v>
      </c>
    </row>
    <row r="411" ht="12.75">
      <c r="D411" s="16" t="s">
        <v>1097</v>
      </c>
    </row>
    <row r="412" spans="1:48" ht="12.75">
      <c r="A412" s="5" t="s">
        <v>336</v>
      </c>
      <c r="B412" s="5"/>
      <c r="C412" s="5" t="s">
        <v>695</v>
      </c>
      <c r="D412" s="5" t="s">
        <v>1098</v>
      </c>
      <c r="E412" s="5" t="s">
        <v>1153</v>
      </c>
      <c r="F412" s="19">
        <v>1</v>
      </c>
      <c r="G412" s="19">
        <v>0</v>
      </c>
      <c r="H412" s="19">
        <f>F412*AE412</f>
        <v>0</v>
      </c>
      <c r="I412" s="19">
        <f>J412-H412</f>
        <v>0</v>
      </c>
      <c r="J412" s="19">
        <f>F412*G412</f>
        <v>0</v>
      </c>
      <c r="K412" s="19">
        <v>0.01</v>
      </c>
      <c r="L412" s="19">
        <f>F412*K412</f>
        <v>0.01</v>
      </c>
      <c r="M412" s="33" t="s">
        <v>1177</v>
      </c>
      <c r="P412" s="37">
        <f>IF(AG412="5",J412,0)</f>
        <v>0</v>
      </c>
      <c r="R412" s="37">
        <f>IF(AG412="1",H412,0)</f>
        <v>0</v>
      </c>
      <c r="S412" s="37">
        <f>IF(AG412="1",I412,0)</f>
        <v>0</v>
      </c>
      <c r="T412" s="37">
        <f>IF(AG412="7",H412,0)</f>
        <v>0</v>
      </c>
      <c r="U412" s="37">
        <f>IF(AG412="7",I412,0)</f>
        <v>0</v>
      </c>
      <c r="V412" s="37">
        <f>IF(AG412="2",H412,0)</f>
        <v>0</v>
      </c>
      <c r="W412" s="37">
        <f>IF(AG412="2",I412,0)</f>
        <v>0</v>
      </c>
      <c r="X412" s="37">
        <f>IF(AG412="0",J412,0)</f>
        <v>0</v>
      </c>
      <c r="Y412" s="28"/>
      <c r="Z412" s="19">
        <f>IF(AD412=0,J412,0)</f>
        <v>0</v>
      </c>
      <c r="AA412" s="19">
        <f>IF(AD412=15,J412,0)</f>
        <v>0</v>
      </c>
      <c r="AB412" s="19">
        <f>IF(AD412=21,J412,0)</f>
        <v>0</v>
      </c>
      <c r="AD412" s="37">
        <v>21</v>
      </c>
      <c r="AE412" s="37">
        <f>G412*0.74</f>
        <v>0</v>
      </c>
      <c r="AF412" s="37">
        <f>G412*(1-0.74)</f>
        <v>0</v>
      </c>
      <c r="AG412" s="33" t="s">
        <v>13</v>
      </c>
      <c r="AM412" s="37">
        <f>F412*AE412</f>
        <v>0</v>
      </c>
      <c r="AN412" s="37">
        <f>F412*AF412</f>
        <v>0</v>
      </c>
      <c r="AO412" s="38" t="s">
        <v>1216</v>
      </c>
      <c r="AP412" s="38" t="s">
        <v>1231</v>
      </c>
      <c r="AQ412" s="28" t="s">
        <v>1234</v>
      </c>
      <c r="AS412" s="37">
        <f>AM412+AN412</f>
        <v>0</v>
      </c>
      <c r="AT412" s="37">
        <f>G412/(100-AU412)*100</f>
        <v>0</v>
      </c>
      <c r="AU412" s="37">
        <v>0</v>
      </c>
      <c r="AV412" s="37">
        <f>L412</f>
        <v>0.01</v>
      </c>
    </row>
    <row r="413" ht="12.75">
      <c r="D413" s="16" t="s">
        <v>1086</v>
      </c>
    </row>
    <row r="414" spans="1:48" ht="12.75">
      <c r="A414" s="5" t="s">
        <v>337</v>
      </c>
      <c r="B414" s="5"/>
      <c r="C414" s="5" t="s">
        <v>696</v>
      </c>
      <c r="D414" s="5" t="s">
        <v>1099</v>
      </c>
      <c r="E414" s="5" t="s">
        <v>1153</v>
      </c>
      <c r="F414" s="19">
        <v>5</v>
      </c>
      <c r="G414" s="19">
        <v>0</v>
      </c>
      <c r="H414" s="19">
        <f aca="true" t="shared" si="196" ref="H414:H421">F414*AE414</f>
        <v>0</v>
      </c>
      <c r="I414" s="19">
        <f aca="true" t="shared" si="197" ref="I414:I421">J414-H414</f>
        <v>0</v>
      </c>
      <c r="J414" s="19">
        <f aca="true" t="shared" si="198" ref="J414:J421">F414*G414</f>
        <v>0</v>
      </c>
      <c r="K414" s="19">
        <v>0.001</v>
      </c>
      <c r="L414" s="19">
        <f aca="true" t="shared" si="199" ref="L414:L421">F414*K414</f>
        <v>0.005</v>
      </c>
      <c r="M414" s="33" t="s">
        <v>1177</v>
      </c>
      <c r="P414" s="37">
        <f aca="true" t="shared" si="200" ref="P414:P421">IF(AG414="5",J414,0)</f>
        <v>0</v>
      </c>
      <c r="R414" s="37">
        <f aca="true" t="shared" si="201" ref="R414:R421">IF(AG414="1",H414,0)</f>
        <v>0</v>
      </c>
      <c r="S414" s="37">
        <f aca="true" t="shared" si="202" ref="S414:S421">IF(AG414="1",I414,0)</f>
        <v>0</v>
      </c>
      <c r="T414" s="37">
        <f aca="true" t="shared" si="203" ref="T414:T421">IF(AG414="7",H414,0)</f>
        <v>0</v>
      </c>
      <c r="U414" s="37">
        <f aca="true" t="shared" si="204" ref="U414:U421">IF(AG414="7",I414,0)</f>
        <v>0</v>
      </c>
      <c r="V414" s="37">
        <f aca="true" t="shared" si="205" ref="V414:V421">IF(AG414="2",H414,0)</f>
        <v>0</v>
      </c>
      <c r="W414" s="37">
        <f aca="true" t="shared" si="206" ref="W414:W421">IF(AG414="2",I414,0)</f>
        <v>0</v>
      </c>
      <c r="X414" s="37">
        <f aca="true" t="shared" si="207" ref="X414:X421">IF(AG414="0",J414,0)</f>
        <v>0</v>
      </c>
      <c r="Y414" s="28"/>
      <c r="Z414" s="19">
        <f aca="true" t="shared" si="208" ref="Z414:Z421">IF(AD414=0,J414,0)</f>
        <v>0</v>
      </c>
      <c r="AA414" s="19">
        <f aca="true" t="shared" si="209" ref="AA414:AA421">IF(AD414=15,J414,0)</f>
        <v>0</v>
      </c>
      <c r="AB414" s="19">
        <f aca="true" t="shared" si="210" ref="AB414:AB421">IF(AD414=21,J414,0)</f>
        <v>0</v>
      </c>
      <c r="AD414" s="37">
        <v>21</v>
      </c>
      <c r="AE414" s="37">
        <f aca="true" t="shared" si="211" ref="AE414:AE420">G414*0.79</f>
        <v>0</v>
      </c>
      <c r="AF414" s="37">
        <f aca="true" t="shared" si="212" ref="AF414:AF420">G414*(1-0.79)</f>
        <v>0</v>
      </c>
      <c r="AG414" s="33" t="s">
        <v>13</v>
      </c>
      <c r="AM414" s="37">
        <f aca="true" t="shared" si="213" ref="AM414:AM421">F414*AE414</f>
        <v>0</v>
      </c>
      <c r="AN414" s="37">
        <f aca="true" t="shared" si="214" ref="AN414:AN421">F414*AF414</f>
        <v>0</v>
      </c>
      <c r="AO414" s="38" t="s">
        <v>1216</v>
      </c>
      <c r="AP414" s="38" t="s">
        <v>1231</v>
      </c>
      <c r="AQ414" s="28" t="s">
        <v>1234</v>
      </c>
      <c r="AS414" s="37">
        <f aca="true" t="shared" si="215" ref="AS414:AS421">AM414+AN414</f>
        <v>0</v>
      </c>
      <c r="AT414" s="37">
        <f aca="true" t="shared" si="216" ref="AT414:AT421">G414/(100-AU414)*100</f>
        <v>0</v>
      </c>
      <c r="AU414" s="37">
        <v>0</v>
      </c>
      <c r="AV414" s="37">
        <f aca="true" t="shared" si="217" ref="AV414:AV421">L414</f>
        <v>0.005</v>
      </c>
    </row>
    <row r="415" spans="1:48" ht="12.75">
      <c r="A415" s="5" t="s">
        <v>338</v>
      </c>
      <c r="B415" s="5"/>
      <c r="C415" s="5" t="s">
        <v>697</v>
      </c>
      <c r="D415" s="5" t="s">
        <v>1100</v>
      </c>
      <c r="E415" s="5" t="s">
        <v>1153</v>
      </c>
      <c r="F415" s="19">
        <v>3</v>
      </c>
      <c r="G415" s="19">
        <v>0</v>
      </c>
      <c r="H415" s="19">
        <f t="shared" si="196"/>
        <v>0</v>
      </c>
      <c r="I415" s="19">
        <f t="shared" si="197"/>
        <v>0</v>
      </c>
      <c r="J415" s="19">
        <f t="shared" si="198"/>
        <v>0</v>
      </c>
      <c r="K415" s="19">
        <v>0.001</v>
      </c>
      <c r="L415" s="19">
        <f t="shared" si="199"/>
        <v>0.003</v>
      </c>
      <c r="M415" s="33" t="s">
        <v>1177</v>
      </c>
      <c r="P415" s="37">
        <f t="shared" si="200"/>
        <v>0</v>
      </c>
      <c r="R415" s="37">
        <f t="shared" si="201"/>
        <v>0</v>
      </c>
      <c r="S415" s="37">
        <f t="shared" si="202"/>
        <v>0</v>
      </c>
      <c r="T415" s="37">
        <f t="shared" si="203"/>
        <v>0</v>
      </c>
      <c r="U415" s="37">
        <f t="shared" si="204"/>
        <v>0</v>
      </c>
      <c r="V415" s="37">
        <f t="shared" si="205"/>
        <v>0</v>
      </c>
      <c r="W415" s="37">
        <f t="shared" si="206"/>
        <v>0</v>
      </c>
      <c r="X415" s="37">
        <f t="shared" si="207"/>
        <v>0</v>
      </c>
      <c r="Y415" s="28"/>
      <c r="Z415" s="19">
        <f t="shared" si="208"/>
        <v>0</v>
      </c>
      <c r="AA415" s="19">
        <f t="shared" si="209"/>
        <v>0</v>
      </c>
      <c r="AB415" s="19">
        <f t="shared" si="210"/>
        <v>0</v>
      </c>
      <c r="AD415" s="37">
        <v>21</v>
      </c>
      <c r="AE415" s="37">
        <f t="shared" si="211"/>
        <v>0</v>
      </c>
      <c r="AF415" s="37">
        <f t="shared" si="212"/>
        <v>0</v>
      </c>
      <c r="AG415" s="33" t="s">
        <v>13</v>
      </c>
      <c r="AM415" s="37">
        <f t="shared" si="213"/>
        <v>0</v>
      </c>
      <c r="AN415" s="37">
        <f t="shared" si="214"/>
        <v>0</v>
      </c>
      <c r="AO415" s="38" t="s">
        <v>1216</v>
      </c>
      <c r="AP415" s="38" t="s">
        <v>1231</v>
      </c>
      <c r="AQ415" s="28" t="s">
        <v>1234</v>
      </c>
      <c r="AS415" s="37">
        <f t="shared" si="215"/>
        <v>0</v>
      </c>
      <c r="AT415" s="37">
        <f t="shared" si="216"/>
        <v>0</v>
      </c>
      <c r="AU415" s="37">
        <v>0</v>
      </c>
      <c r="AV415" s="37">
        <f t="shared" si="217"/>
        <v>0.003</v>
      </c>
    </row>
    <row r="416" spans="1:48" ht="12.75">
      <c r="A416" s="5" t="s">
        <v>339</v>
      </c>
      <c r="B416" s="5"/>
      <c r="C416" s="5" t="s">
        <v>698</v>
      </c>
      <c r="D416" s="5" t="s">
        <v>1101</v>
      </c>
      <c r="E416" s="5" t="s">
        <v>1153</v>
      </c>
      <c r="F416" s="19">
        <v>3</v>
      </c>
      <c r="G416" s="19">
        <v>0</v>
      </c>
      <c r="H416" s="19">
        <f t="shared" si="196"/>
        <v>0</v>
      </c>
      <c r="I416" s="19">
        <f t="shared" si="197"/>
        <v>0</v>
      </c>
      <c r="J416" s="19">
        <f t="shared" si="198"/>
        <v>0</v>
      </c>
      <c r="K416" s="19">
        <v>0.001</v>
      </c>
      <c r="L416" s="19">
        <f t="shared" si="199"/>
        <v>0.003</v>
      </c>
      <c r="M416" s="33" t="s">
        <v>1177</v>
      </c>
      <c r="P416" s="37">
        <f t="shared" si="200"/>
        <v>0</v>
      </c>
      <c r="R416" s="37">
        <f t="shared" si="201"/>
        <v>0</v>
      </c>
      <c r="S416" s="37">
        <f t="shared" si="202"/>
        <v>0</v>
      </c>
      <c r="T416" s="37">
        <f t="shared" si="203"/>
        <v>0</v>
      </c>
      <c r="U416" s="37">
        <f t="shared" si="204"/>
        <v>0</v>
      </c>
      <c r="V416" s="37">
        <f t="shared" si="205"/>
        <v>0</v>
      </c>
      <c r="W416" s="37">
        <f t="shared" si="206"/>
        <v>0</v>
      </c>
      <c r="X416" s="37">
        <f t="shared" si="207"/>
        <v>0</v>
      </c>
      <c r="Y416" s="28"/>
      <c r="Z416" s="19">
        <f t="shared" si="208"/>
        <v>0</v>
      </c>
      <c r="AA416" s="19">
        <f t="shared" si="209"/>
        <v>0</v>
      </c>
      <c r="AB416" s="19">
        <f t="shared" si="210"/>
        <v>0</v>
      </c>
      <c r="AD416" s="37">
        <v>21</v>
      </c>
      <c r="AE416" s="37">
        <f t="shared" si="211"/>
        <v>0</v>
      </c>
      <c r="AF416" s="37">
        <f t="shared" si="212"/>
        <v>0</v>
      </c>
      <c r="AG416" s="33" t="s">
        <v>13</v>
      </c>
      <c r="AM416" s="37">
        <f t="shared" si="213"/>
        <v>0</v>
      </c>
      <c r="AN416" s="37">
        <f t="shared" si="214"/>
        <v>0</v>
      </c>
      <c r="AO416" s="38" t="s">
        <v>1216</v>
      </c>
      <c r="AP416" s="38" t="s">
        <v>1231</v>
      </c>
      <c r="AQ416" s="28" t="s">
        <v>1234</v>
      </c>
      <c r="AS416" s="37">
        <f t="shared" si="215"/>
        <v>0</v>
      </c>
      <c r="AT416" s="37">
        <f t="shared" si="216"/>
        <v>0</v>
      </c>
      <c r="AU416" s="37">
        <v>0</v>
      </c>
      <c r="AV416" s="37">
        <f t="shared" si="217"/>
        <v>0.003</v>
      </c>
    </row>
    <row r="417" spans="1:48" ht="12.75">
      <c r="A417" s="5" t="s">
        <v>340</v>
      </c>
      <c r="B417" s="5"/>
      <c r="C417" s="5" t="s">
        <v>699</v>
      </c>
      <c r="D417" s="5" t="s">
        <v>1102</v>
      </c>
      <c r="E417" s="5" t="s">
        <v>1153</v>
      </c>
      <c r="F417" s="19">
        <v>3</v>
      </c>
      <c r="G417" s="19">
        <v>0</v>
      </c>
      <c r="H417" s="19">
        <f t="shared" si="196"/>
        <v>0</v>
      </c>
      <c r="I417" s="19">
        <f t="shared" si="197"/>
        <v>0</v>
      </c>
      <c r="J417" s="19">
        <f t="shared" si="198"/>
        <v>0</v>
      </c>
      <c r="K417" s="19">
        <v>0.001</v>
      </c>
      <c r="L417" s="19">
        <f t="shared" si="199"/>
        <v>0.003</v>
      </c>
      <c r="M417" s="33" t="s">
        <v>1177</v>
      </c>
      <c r="P417" s="37">
        <f t="shared" si="200"/>
        <v>0</v>
      </c>
      <c r="R417" s="37">
        <f t="shared" si="201"/>
        <v>0</v>
      </c>
      <c r="S417" s="37">
        <f t="shared" si="202"/>
        <v>0</v>
      </c>
      <c r="T417" s="37">
        <f t="shared" si="203"/>
        <v>0</v>
      </c>
      <c r="U417" s="37">
        <f t="shared" si="204"/>
        <v>0</v>
      </c>
      <c r="V417" s="37">
        <f t="shared" si="205"/>
        <v>0</v>
      </c>
      <c r="W417" s="37">
        <f t="shared" si="206"/>
        <v>0</v>
      </c>
      <c r="X417" s="37">
        <f t="shared" si="207"/>
        <v>0</v>
      </c>
      <c r="Y417" s="28"/>
      <c r="Z417" s="19">
        <f t="shared" si="208"/>
        <v>0</v>
      </c>
      <c r="AA417" s="19">
        <f t="shared" si="209"/>
        <v>0</v>
      </c>
      <c r="AB417" s="19">
        <f t="shared" si="210"/>
        <v>0</v>
      </c>
      <c r="AD417" s="37">
        <v>21</v>
      </c>
      <c r="AE417" s="37">
        <f t="shared" si="211"/>
        <v>0</v>
      </c>
      <c r="AF417" s="37">
        <f t="shared" si="212"/>
        <v>0</v>
      </c>
      <c r="AG417" s="33" t="s">
        <v>13</v>
      </c>
      <c r="AM417" s="37">
        <f t="shared" si="213"/>
        <v>0</v>
      </c>
      <c r="AN417" s="37">
        <f t="shared" si="214"/>
        <v>0</v>
      </c>
      <c r="AO417" s="38" t="s">
        <v>1216</v>
      </c>
      <c r="AP417" s="38" t="s">
        <v>1231</v>
      </c>
      <c r="AQ417" s="28" t="s">
        <v>1234</v>
      </c>
      <c r="AS417" s="37">
        <f t="shared" si="215"/>
        <v>0</v>
      </c>
      <c r="AT417" s="37">
        <f t="shared" si="216"/>
        <v>0</v>
      </c>
      <c r="AU417" s="37">
        <v>0</v>
      </c>
      <c r="AV417" s="37">
        <f t="shared" si="217"/>
        <v>0.003</v>
      </c>
    </row>
    <row r="418" spans="1:48" ht="12.75">
      <c r="A418" s="5" t="s">
        <v>341</v>
      </c>
      <c r="B418" s="5"/>
      <c r="C418" s="5" t="s">
        <v>700</v>
      </c>
      <c r="D418" s="5" t="s">
        <v>1103</v>
      </c>
      <c r="E418" s="5" t="s">
        <v>1153</v>
      </c>
      <c r="F418" s="19">
        <v>2</v>
      </c>
      <c r="G418" s="19">
        <v>0</v>
      </c>
      <c r="H418" s="19">
        <f t="shared" si="196"/>
        <v>0</v>
      </c>
      <c r="I418" s="19">
        <f t="shared" si="197"/>
        <v>0</v>
      </c>
      <c r="J418" s="19">
        <f t="shared" si="198"/>
        <v>0</v>
      </c>
      <c r="K418" s="19">
        <v>0.001</v>
      </c>
      <c r="L418" s="19">
        <f t="shared" si="199"/>
        <v>0.002</v>
      </c>
      <c r="M418" s="33" t="s">
        <v>1177</v>
      </c>
      <c r="P418" s="37">
        <f t="shared" si="200"/>
        <v>0</v>
      </c>
      <c r="R418" s="37">
        <f t="shared" si="201"/>
        <v>0</v>
      </c>
      <c r="S418" s="37">
        <f t="shared" si="202"/>
        <v>0</v>
      </c>
      <c r="T418" s="37">
        <f t="shared" si="203"/>
        <v>0</v>
      </c>
      <c r="U418" s="37">
        <f t="shared" si="204"/>
        <v>0</v>
      </c>
      <c r="V418" s="37">
        <f t="shared" si="205"/>
        <v>0</v>
      </c>
      <c r="W418" s="37">
        <f t="shared" si="206"/>
        <v>0</v>
      </c>
      <c r="X418" s="37">
        <f t="shared" si="207"/>
        <v>0</v>
      </c>
      <c r="Y418" s="28"/>
      <c r="Z418" s="19">
        <f t="shared" si="208"/>
        <v>0</v>
      </c>
      <c r="AA418" s="19">
        <f t="shared" si="209"/>
        <v>0</v>
      </c>
      <c r="AB418" s="19">
        <f t="shared" si="210"/>
        <v>0</v>
      </c>
      <c r="AD418" s="37">
        <v>21</v>
      </c>
      <c r="AE418" s="37">
        <f t="shared" si="211"/>
        <v>0</v>
      </c>
      <c r="AF418" s="37">
        <f t="shared" si="212"/>
        <v>0</v>
      </c>
      <c r="AG418" s="33" t="s">
        <v>13</v>
      </c>
      <c r="AM418" s="37">
        <f t="shared" si="213"/>
        <v>0</v>
      </c>
      <c r="AN418" s="37">
        <f t="shared" si="214"/>
        <v>0</v>
      </c>
      <c r="AO418" s="38" t="s">
        <v>1216</v>
      </c>
      <c r="AP418" s="38" t="s">
        <v>1231</v>
      </c>
      <c r="AQ418" s="28" t="s">
        <v>1234</v>
      </c>
      <c r="AS418" s="37">
        <f t="shared" si="215"/>
        <v>0</v>
      </c>
      <c r="AT418" s="37">
        <f t="shared" si="216"/>
        <v>0</v>
      </c>
      <c r="AU418" s="37">
        <v>0</v>
      </c>
      <c r="AV418" s="37">
        <f t="shared" si="217"/>
        <v>0.002</v>
      </c>
    </row>
    <row r="419" spans="1:48" ht="12.75">
      <c r="A419" s="5" t="s">
        <v>342</v>
      </c>
      <c r="B419" s="5"/>
      <c r="C419" s="5" t="s">
        <v>701</v>
      </c>
      <c r="D419" s="5" t="s">
        <v>1104</v>
      </c>
      <c r="E419" s="5" t="s">
        <v>1153</v>
      </c>
      <c r="F419" s="19">
        <v>4</v>
      </c>
      <c r="G419" s="19">
        <v>0</v>
      </c>
      <c r="H419" s="19">
        <f t="shared" si="196"/>
        <v>0</v>
      </c>
      <c r="I419" s="19">
        <f t="shared" si="197"/>
        <v>0</v>
      </c>
      <c r="J419" s="19">
        <f t="shared" si="198"/>
        <v>0</v>
      </c>
      <c r="K419" s="19">
        <v>0.001</v>
      </c>
      <c r="L419" s="19">
        <f t="shared" si="199"/>
        <v>0.004</v>
      </c>
      <c r="M419" s="33" t="s">
        <v>1177</v>
      </c>
      <c r="P419" s="37">
        <f t="shared" si="200"/>
        <v>0</v>
      </c>
      <c r="R419" s="37">
        <f t="shared" si="201"/>
        <v>0</v>
      </c>
      <c r="S419" s="37">
        <f t="shared" si="202"/>
        <v>0</v>
      </c>
      <c r="T419" s="37">
        <f t="shared" si="203"/>
        <v>0</v>
      </c>
      <c r="U419" s="37">
        <f t="shared" si="204"/>
        <v>0</v>
      </c>
      <c r="V419" s="37">
        <f t="shared" si="205"/>
        <v>0</v>
      </c>
      <c r="W419" s="37">
        <f t="shared" si="206"/>
        <v>0</v>
      </c>
      <c r="X419" s="37">
        <f t="shared" si="207"/>
        <v>0</v>
      </c>
      <c r="Y419" s="28"/>
      <c r="Z419" s="19">
        <f t="shared" si="208"/>
        <v>0</v>
      </c>
      <c r="AA419" s="19">
        <f t="shared" si="209"/>
        <v>0</v>
      </c>
      <c r="AB419" s="19">
        <f t="shared" si="210"/>
        <v>0</v>
      </c>
      <c r="AD419" s="37">
        <v>21</v>
      </c>
      <c r="AE419" s="37">
        <f t="shared" si="211"/>
        <v>0</v>
      </c>
      <c r="AF419" s="37">
        <f t="shared" si="212"/>
        <v>0</v>
      </c>
      <c r="AG419" s="33" t="s">
        <v>13</v>
      </c>
      <c r="AM419" s="37">
        <f t="shared" si="213"/>
        <v>0</v>
      </c>
      <c r="AN419" s="37">
        <f t="shared" si="214"/>
        <v>0</v>
      </c>
      <c r="AO419" s="38" t="s">
        <v>1216</v>
      </c>
      <c r="AP419" s="38" t="s">
        <v>1231</v>
      </c>
      <c r="AQ419" s="28" t="s">
        <v>1234</v>
      </c>
      <c r="AS419" s="37">
        <f t="shared" si="215"/>
        <v>0</v>
      </c>
      <c r="AT419" s="37">
        <f t="shared" si="216"/>
        <v>0</v>
      </c>
      <c r="AU419" s="37">
        <v>0</v>
      </c>
      <c r="AV419" s="37">
        <f t="shared" si="217"/>
        <v>0.004</v>
      </c>
    </row>
    <row r="420" spans="1:48" ht="12.75">
      <c r="A420" s="5" t="s">
        <v>343</v>
      </c>
      <c r="B420" s="5"/>
      <c r="C420" s="5" t="s">
        <v>702</v>
      </c>
      <c r="D420" s="5" t="s">
        <v>1105</v>
      </c>
      <c r="E420" s="5" t="s">
        <v>1153</v>
      </c>
      <c r="F420" s="19">
        <v>2</v>
      </c>
      <c r="G420" s="19">
        <v>0</v>
      </c>
      <c r="H420" s="19">
        <f t="shared" si="196"/>
        <v>0</v>
      </c>
      <c r="I420" s="19">
        <f t="shared" si="197"/>
        <v>0</v>
      </c>
      <c r="J420" s="19">
        <f t="shared" si="198"/>
        <v>0</v>
      </c>
      <c r="K420" s="19">
        <v>0.01</v>
      </c>
      <c r="L420" s="19">
        <f t="shared" si="199"/>
        <v>0.02</v>
      </c>
      <c r="M420" s="33" t="s">
        <v>1177</v>
      </c>
      <c r="P420" s="37">
        <f t="shared" si="200"/>
        <v>0</v>
      </c>
      <c r="R420" s="37">
        <f t="shared" si="201"/>
        <v>0</v>
      </c>
      <c r="S420" s="37">
        <f t="shared" si="202"/>
        <v>0</v>
      </c>
      <c r="T420" s="37">
        <f t="shared" si="203"/>
        <v>0</v>
      </c>
      <c r="U420" s="37">
        <f t="shared" si="204"/>
        <v>0</v>
      </c>
      <c r="V420" s="37">
        <f t="shared" si="205"/>
        <v>0</v>
      </c>
      <c r="W420" s="37">
        <f t="shared" si="206"/>
        <v>0</v>
      </c>
      <c r="X420" s="37">
        <f t="shared" si="207"/>
        <v>0</v>
      </c>
      <c r="Y420" s="28"/>
      <c r="Z420" s="19">
        <f t="shared" si="208"/>
        <v>0</v>
      </c>
      <c r="AA420" s="19">
        <f t="shared" si="209"/>
        <v>0</v>
      </c>
      <c r="AB420" s="19">
        <f t="shared" si="210"/>
        <v>0</v>
      </c>
      <c r="AD420" s="37">
        <v>21</v>
      </c>
      <c r="AE420" s="37">
        <f t="shared" si="211"/>
        <v>0</v>
      </c>
      <c r="AF420" s="37">
        <f t="shared" si="212"/>
        <v>0</v>
      </c>
      <c r="AG420" s="33" t="s">
        <v>13</v>
      </c>
      <c r="AM420" s="37">
        <f t="shared" si="213"/>
        <v>0</v>
      </c>
      <c r="AN420" s="37">
        <f t="shared" si="214"/>
        <v>0</v>
      </c>
      <c r="AO420" s="38" t="s">
        <v>1216</v>
      </c>
      <c r="AP420" s="38" t="s">
        <v>1231</v>
      </c>
      <c r="AQ420" s="28" t="s">
        <v>1234</v>
      </c>
      <c r="AS420" s="37">
        <f t="shared" si="215"/>
        <v>0</v>
      </c>
      <c r="AT420" s="37">
        <f t="shared" si="216"/>
        <v>0</v>
      </c>
      <c r="AU420" s="37">
        <v>0</v>
      </c>
      <c r="AV420" s="37">
        <f t="shared" si="217"/>
        <v>0.02</v>
      </c>
    </row>
    <row r="421" spans="1:48" ht="12.75">
      <c r="A421" s="5" t="s">
        <v>344</v>
      </c>
      <c r="B421" s="5"/>
      <c r="C421" s="5" t="s">
        <v>703</v>
      </c>
      <c r="D421" s="5" t="s">
        <v>1106</v>
      </c>
      <c r="E421" s="5" t="s">
        <v>1152</v>
      </c>
      <c r="F421" s="19">
        <v>1.363</v>
      </c>
      <c r="G421" s="19">
        <v>0</v>
      </c>
      <c r="H421" s="19">
        <f t="shared" si="196"/>
        <v>0</v>
      </c>
      <c r="I421" s="19">
        <f t="shared" si="197"/>
        <v>0</v>
      </c>
      <c r="J421" s="19">
        <f t="shared" si="198"/>
        <v>0</v>
      </c>
      <c r="K421" s="19">
        <v>0</v>
      </c>
      <c r="L421" s="19">
        <f t="shared" si="199"/>
        <v>0</v>
      </c>
      <c r="M421" s="33" t="s">
        <v>1177</v>
      </c>
      <c r="P421" s="37">
        <f t="shared" si="200"/>
        <v>0</v>
      </c>
      <c r="R421" s="37">
        <f t="shared" si="201"/>
        <v>0</v>
      </c>
      <c r="S421" s="37">
        <f t="shared" si="202"/>
        <v>0</v>
      </c>
      <c r="T421" s="37">
        <f t="shared" si="203"/>
        <v>0</v>
      </c>
      <c r="U421" s="37">
        <f t="shared" si="204"/>
        <v>0</v>
      </c>
      <c r="V421" s="37">
        <f t="shared" si="205"/>
        <v>0</v>
      </c>
      <c r="W421" s="37">
        <f t="shared" si="206"/>
        <v>0</v>
      </c>
      <c r="X421" s="37">
        <f t="shared" si="207"/>
        <v>0</v>
      </c>
      <c r="Y421" s="28"/>
      <c r="Z421" s="19">
        <f t="shared" si="208"/>
        <v>0</v>
      </c>
      <c r="AA421" s="19">
        <f t="shared" si="209"/>
        <v>0</v>
      </c>
      <c r="AB421" s="19">
        <f t="shared" si="210"/>
        <v>0</v>
      </c>
      <c r="AD421" s="37">
        <v>21</v>
      </c>
      <c r="AE421" s="37">
        <f>G421*0</f>
        <v>0</v>
      </c>
      <c r="AF421" s="37">
        <f>G421*(1-0)</f>
        <v>0</v>
      </c>
      <c r="AG421" s="33" t="s">
        <v>11</v>
      </c>
      <c r="AM421" s="37">
        <f t="shared" si="213"/>
        <v>0</v>
      </c>
      <c r="AN421" s="37">
        <f t="shared" si="214"/>
        <v>0</v>
      </c>
      <c r="AO421" s="38" t="s">
        <v>1216</v>
      </c>
      <c r="AP421" s="38" t="s">
        <v>1231</v>
      </c>
      <c r="AQ421" s="28" t="s">
        <v>1234</v>
      </c>
      <c r="AS421" s="37">
        <f t="shared" si="215"/>
        <v>0</v>
      </c>
      <c r="AT421" s="37">
        <f t="shared" si="216"/>
        <v>0</v>
      </c>
      <c r="AU421" s="37">
        <v>0</v>
      </c>
      <c r="AV421" s="37">
        <f t="shared" si="217"/>
        <v>0</v>
      </c>
    </row>
    <row r="422" spans="1:37" ht="12.75">
      <c r="A422" s="6"/>
      <c r="B422" s="14"/>
      <c r="C422" s="14" t="s">
        <v>704</v>
      </c>
      <c r="D422" s="14" t="s">
        <v>1107</v>
      </c>
      <c r="E422" s="6" t="s">
        <v>6</v>
      </c>
      <c r="F422" s="6" t="s">
        <v>6</v>
      </c>
      <c r="G422" s="6" t="s">
        <v>6</v>
      </c>
      <c r="H422" s="40">
        <f>SUM(H423:H434)</f>
        <v>0</v>
      </c>
      <c r="I422" s="40">
        <f>SUM(I423:I434)</f>
        <v>0</v>
      </c>
      <c r="J422" s="40">
        <f>H422+I422</f>
        <v>0</v>
      </c>
      <c r="K422" s="28"/>
      <c r="L422" s="40">
        <f>SUM(L423:L434)</f>
        <v>1.11155368</v>
      </c>
      <c r="M422" s="28"/>
      <c r="Y422" s="28"/>
      <c r="AI422" s="40">
        <f>SUM(Z423:Z434)</f>
        <v>0</v>
      </c>
      <c r="AJ422" s="40">
        <f>SUM(AA423:AA434)</f>
        <v>0</v>
      </c>
      <c r="AK422" s="40">
        <f>SUM(AB423:AB434)</f>
        <v>0</v>
      </c>
    </row>
    <row r="423" spans="1:48" ht="12.75">
      <c r="A423" s="5" t="s">
        <v>345</v>
      </c>
      <c r="B423" s="5"/>
      <c r="C423" s="5" t="s">
        <v>705</v>
      </c>
      <c r="D423" s="5" t="s">
        <v>1108</v>
      </c>
      <c r="E423" s="5" t="s">
        <v>1151</v>
      </c>
      <c r="F423" s="19">
        <v>40.91</v>
      </c>
      <c r="G423" s="19">
        <v>0</v>
      </c>
      <c r="H423" s="19">
        <f>F423*AE423</f>
        <v>0</v>
      </c>
      <c r="I423" s="19">
        <f>J423-H423</f>
        <v>0</v>
      </c>
      <c r="J423" s="19">
        <f>F423*G423</f>
        <v>0</v>
      </c>
      <c r="K423" s="19">
        <v>0</v>
      </c>
      <c r="L423" s="19">
        <f>F423*K423</f>
        <v>0</v>
      </c>
      <c r="M423" s="33" t="s">
        <v>1177</v>
      </c>
      <c r="P423" s="37">
        <f>IF(AG423="5",J423,0)</f>
        <v>0</v>
      </c>
      <c r="R423" s="37">
        <f>IF(AG423="1",H423,0)</f>
        <v>0</v>
      </c>
      <c r="S423" s="37">
        <f>IF(AG423="1",I423,0)</f>
        <v>0</v>
      </c>
      <c r="T423" s="37">
        <f>IF(AG423="7",H423,0)</f>
        <v>0</v>
      </c>
      <c r="U423" s="37">
        <f>IF(AG423="7",I423,0)</f>
        <v>0</v>
      </c>
      <c r="V423" s="37">
        <f>IF(AG423="2",H423,0)</f>
        <v>0</v>
      </c>
      <c r="W423" s="37">
        <f>IF(AG423="2",I423,0)</f>
        <v>0</v>
      </c>
      <c r="X423" s="37">
        <f>IF(AG423="0",J423,0)</f>
        <v>0</v>
      </c>
      <c r="Y423" s="28"/>
      <c r="Z423" s="19">
        <f>IF(AD423=0,J423,0)</f>
        <v>0</v>
      </c>
      <c r="AA423" s="19">
        <f>IF(AD423=15,J423,0)</f>
        <v>0</v>
      </c>
      <c r="AB423" s="19">
        <f>IF(AD423=21,J423,0)</f>
        <v>0</v>
      </c>
      <c r="AD423" s="37">
        <v>21</v>
      </c>
      <c r="AE423" s="37">
        <f>G423*0</f>
        <v>0</v>
      </c>
      <c r="AF423" s="37">
        <f>G423*(1-0)</f>
        <v>0</v>
      </c>
      <c r="AG423" s="33" t="s">
        <v>13</v>
      </c>
      <c r="AM423" s="37">
        <f>F423*AE423</f>
        <v>0</v>
      </c>
      <c r="AN423" s="37">
        <f>F423*AF423</f>
        <v>0</v>
      </c>
      <c r="AO423" s="38" t="s">
        <v>1217</v>
      </c>
      <c r="AP423" s="38" t="s">
        <v>1232</v>
      </c>
      <c r="AQ423" s="28" t="s">
        <v>1234</v>
      </c>
      <c r="AS423" s="37">
        <f>AM423+AN423</f>
        <v>0</v>
      </c>
      <c r="AT423" s="37">
        <f>G423/(100-AU423)*100</f>
        <v>0</v>
      </c>
      <c r="AU423" s="37">
        <v>0</v>
      </c>
      <c r="AV423" s="37">
        <f>L423</f>
        <v>0</v>
      </c>
    </row>
    <row r="424" ht="12.75">
      <c r="D424" s="16" t="s">
        <v>1109</v>
      </c>
    </row>
    <row r="425" spans="1:48" ht="12.75">
      <c r="A425" s="5" t="s">
        <v>346</v>
      </c>
      <c r="B425" s="5"/>
      <c r="C425" s="5" t="s">
        <v>706</v>
      </c>
      <c r="D425" s="5" t="s">
        <v>1110</v>
      </c>
      <c r="E425" s="5" t="s">
        <v>1154</v>
      </c>
      <c r="F425" s="19">
        <v>20.98</v>
      </c>
      <c r="G425" s="19">
        <v>0</v>
      </c>
      <c r="H425" s="19">
        <f>F425*AE425</f>
        <v>0</v>
      </c>
      <c r="I425" s="19">
        <f>J425-H425</f>
        <v>0</v>
      </c>
      <c r="J425" s="19">
        <f>F425*G425</f>
        <v>0</v>
      </c>
      <c r="K425" s="19">
        <v>0</v>
      </c>
      <c r="L425" s="19">
        <f>F425*K425</f>
        <v>0</v>
      </c>
      <c r="M425" s="33" t="s">
        <v>1177</v>
      </c>
      <c r="P425" s="37">
        <f>IF(AG425="5",J425,0)</f>
        <v>0</v>
      </c>
      <c r="R425" s="37">
        <f>IF(AG425="1",H425,0)</f>
        <v>0</v>
      </c>
      <c r="S425" s="37">
        <f>IF(AG425="1",I425,0)</f>
        <v>0</v>
      </c>
      <c r="T425" s="37">
        <f>IF(AG425="7",H425,0)</f>
        <v>0</v>
      </c>
      <c r="U425" s="37">
        <f>IF(AG425="7",I425,0)</f>
        <v>0</v>
      </c>
      <c r="V425" s="37">
        <f>IF(AG425="2",H425,0)</f>
        <v>0</v>
      </c>
      <c r="W425" s="37">
        <f>IF(AG425="2",I425,0)</f>
        <v>0</v>
      </c>
      <c r="X425" s="37">
        <f>IF(AG425="0",J425,0)</f>
        <v>0</v>
      </c>
      <c r="Y425" s="28"/>
      <c r="Z425" s="19">
        <f>IF(AD425=0,J425,0)</f>
        <v>0</v>
      </c>
      <c r="AA425" s="19">
        <f>IF(AD425=15,J425,0)</f>
        <v>0</v>
      </c>
      <c r="AB425" s="19">
        <f>IF(AD425=21,J425,0)</f>
        <v>0</v>
      </c>
      <c r="AD425" s="37">
        <v>21</v>
      </c>
      <c r="AE425" s="37">
        <f>G425*0</f>
        <v>0</v>
      </c>
      <c r="AF425" s="37">
        <f>G425*(1-0)</f>
        <v>0</v>
      </c>
      <c r="AG425" s="33" t="s">
        <v>13</v>
      </c>
      <c r="AM425" s="37">
        <f>F425*AE425</f>
        <v>0</v>
      </c>
      <c r="AN425" s="37">
        <f>F425*AF425</f>
        <v>0</v>
      </c>
      <c r="AO425" s="38" t="s">
        <v>1217</v>
      </c>
      <c r="AP425" s="38" t="s">
        <v>1232</v>
      </c>
      <c r="AQ425" s="28" t="s">
        <v>1234</v>
      </c>
      <c r="AS425" s="37">
        <f>AM425+AN425</f>
        <v>0</v>
      </c>
      <c r="AT425" s="37">
        <f>G425/(100-AU425)*100</f>
        <v>0</v>
      </c>
      <c r="AU425" s="37">
        <v>0</v>
      </c>
      <c r="AV425" s="37">
        <f>L425</f>
        <v>0</v>
      </c>
    </row>
    <row r="426" spans="1:48" ht="12.75">
      <c r="A426" s="7" t="s">
        <v>347</v>
      </c>
      <c r="B426" s="7"/>
      <c r="C426" s="7" t="s">
        <v>707</v>
      </c>
      <c r="D426" s="7" t="s">
        <v>1111</v>
      </c>
      <c r="E426" s="7" t="s">
        <v>1151</v>
      </c>
      <c r="F426" s="20">
        <v>2.2029</v>
      </c>
      <c r="G426" s="20">
        <v>0</v>
      </c>
      <c r="H426" s="20">
        <f>F426*AE426</f>
        <v>0</v>
      </c>
      <c r="I426" s="20">
        <f>J426-H426</f>
        <v>0</v>
      </c>
      <c r="J426" s="20">
        <f>F426*G426</f>
        <v>0</v>
      </c>
      <c r="K426" s="20">
        <v>0.0192</v>
      </c>
      <c r="L426" s="20">
        <f>F426*K426</f>
        <v>0.042295679999999995</v>
      </c>
      <c r="M426" s="34" t="s">
        <v>1177</v>
      </c>
      <c r="P426" s="37">
        <f>IF(AG426="5",J426,0)</f>
        <v>0</v>
      </c>
      <c r="R426" s="37">
        <f>IF(AG426="1",H426,0)</f>
        <v>0</v>
      </c>
      <c r="S426" s="37">
        <f>IF(AG426="1",I426,0)</f>
        <v>0</v>
      </c>
      <c r="T426" s="37">
        <f>IF(AG426="7",H426,0)</f>
        <v>0</v>
      </c>
      <c r="U426" s="37">
        <f>IF(AG426="7",I426,0)</f>
        <v>0</v>
      </c>
      <c r="V426" s="37">
        <f>IF(AG426="2",H426,0)</f>
        <v>0</v>
      </c>
      <c r="W426" s="37">
        <f>IF(AG426="2",I426,0)</f>
        <v>0</v>
      </c>
      <c r="X426" s="37">
        <f>IF(AG426="0",J426,0)</f>
        <v>0</v>
      </c>
      <c r="Y426" s="28"/>
      <c r="Z426" s="20">
        <f>IF(AD426=0,J426,0)</f>
        <v>0</v>
      </c>
      <c r="AA426" s="20">
        <f>IF(AD426=15,J426,0)</f>
        <v>0</v>
      </c>
      <c r="AB426" s="20">
        <f>IF(AD426=21,J426,0)</f>
        <v>0</v>
      </c>
      <c r="AD426" s="37">
        <v>21</v>
      </c>
      <c r="AE426" s="37">
        <f>G426*1</f>
        <v>0</v>
      </c>
      <c r="AF426" s="37">
        <f>G426*(1-1)</f>
        <v>0</v>
      </c>
      <c r="AG426" s="34" t="s">
        <v>13</v>
      </c>
      <c r="AM426" s="37">
        <f>F426*AE426</f>
        <v>0</v>
      </c>
      <c r="AN426" s="37">
        <f>F426*AF426</f>
        <v>0</v>
      </c>
      <c r="AO426" s="38" t="s">
        <v>1217</v>
      </c>
      <c r="AP426" s="38" t="s">
        <v>1232</v>
      </c>
      <c r="AQ426" s="28" t="s">
        <v>1234</v>
      </c>
      <c r="AS426" s="37">
        <f>AM426+AN426</f>
        <v>0</v>
      </c>
      <c r="AT426" s="37">
        <f>G426/(100-AU426)*100</f>
        <v>0</v>
      </c>
      <c r="AU426" s="37">
        <v>0</v>
      </c>
      <c r="AV426" s="37">
        <f>L426</f>
        <v>0.042295679999999995</v>
      </c>
    </row>
    <row r="427" spans="1:48" ht="12.75">
      <c r="A427" s="5" t="s">
        <v>348</v>
      </c>
      <c r="B427" s="5"/>
      <c r="C427" s="5" t="s">
        <v>708</v>
      </c>
      <c r="D427" s="5" t="s">
        <v>1112</v>
      </c>
      <c r="E427" s="5" t="s">
        <v>1154</v>
      </c>
      <c r="F427" s="19">
        <v>20.98</v>
      </c>
      <c r="G427" s="19">
        <v>0</v>
      </c>
      <c r="H427" s="19">
        <f>F427*AE427</f>
        <v>0</v>
      </c>
      <c r="I427" s="19">
        <f>J427-H427</f>
        <v>0</v>
      </c>
      <c r="J427" s="19">
        <f>F427*G427</f>
        <v>0</v>
      </c>
      <c r="K427" s="19">
        <v>0</v>
      </c>
      <c r="L427" s="19">
        <f>F427*K427</f>
        <v>0</v>
      </c>
      <c r="M427" s="33" t="s">
        <v>1177</v>
      </c>
      <c r="P427" s="37">
        <f>IF(AG427="5",J427,0)</f>
        <v>0</v>
      </c>
      <c r="R427" s="37">
        <f>IF(AG427="1",H427,0)</f>
        <v>0</v>
      </c>
      <c r="S427" s="37">
        <f>IF(AG427="1",I427,0)</f>
        <v>0</v>
      </c>
      <c r="T427" s="37">
        <f>IF(AG427="7",H427,0)</f>
        <v>0</v>
      </c>
      <c r="U427" s="37">
        <f>IF(AG427="7",I427,0)</f>
        <v>0</v>
      </c>
      <c r="V427" s="37">
        <f>IF(AG427="2",H427,0)</f>
        <v>0</v>
      </c>
      <c r="W427" s="37">
        <f>IF(AG427="2",I427,0)</f>
        <v>0</v>
      </c>
      <c r="X427" s="37">
        <f>IF(AG427="0",J427,0)</f>
        <v>0</v>
      </c>
      <c r="Y427" s="28"/>
      <c r="Z427" s="19">
        <f>IF(AD427=0,J427,0)</f>
        <v>0</v>
      </c>
      <c r="AA427" s="19">
        <f>IF(AD427=15,J427,0)</f>
        <v>0</v>
      </c>
      <c r="AB427" s="19">
        <f>IF(AD427=21,J427,0)</f>
        <v>0</v>
      </c>
      <c r="AD427" s="37">
        <v>21</v>
      </c>
      <c r="AE427" s="37">
        <f>G427*0.068090370716343</f>
        <v>0</v>
      </c>
      <c r="AF427" s="37">
        <f>G427*(1-0.068090370716343)</f>
        <v>0</v>
      </c>
      <c r="AG427" s="33" t="s">
        <v>13</v>
      </c>
      <c r="AM427" s="37">
        <f>F427*AE427</f>
        <v>0</v>
      </c>
      <c r="AN427" s="37">
        <f>F427*AF427</f>
        <v>0</v>
      </c>
      <c r="AO427" s="38" t="s">
        <v>1217</v>
      </c>
      <c r="AP427" s="38" t="s">
        <v>1232</v>
      </c>
      <c r="AQ427" s="28" t="s">
        <v>1234</v>
      </c>
      <c r="AS427" s="37">
        <f>AM427+AN427</f>
        <v>0</v>
      </c>
      <c r="AT427" s="37">
        <f>G427/(100-AU427)*100</f>
        <v>0</v>
      </c>
      <c r="AU427" s="37">
        <v>0</v>
      </c>
      <c r="AV427" s="37">
        <f>L427</f>
        <v>0</v>
      </c>
    </row>
    <row r="428" spans="1:48" ht="12.75">
      <c r="A428" s="5" t="s">
        <v>349</v>
      </c>
      <c r="B428" s="5"/>
      <c r="C428" s="5" t="s">
        <v>709</v>
      </c>
      <c r="D428" s="5" t="s">
        <v>1113</v>
      </c>
      <c r="E428" s="5" t="s">
        <v>1151</v>
      </c>
      <c r="F428" s="19">
        <v>40.91</v>
      </c>
      <c r="G428" s="19">
        <v>0</v>
      </c>
      <c r="H428" s="19">
        <f>F428*AE428</f>
        <v>0</v>
      </c>
      <c r="I428" s="19">
        <f>J428-H428</f>
        <v>0</v>
      </c>
      <c r="J428" s="19">
        <f>F428*G428</f>
        <v>0</v>
      </c>
      <c r="K428" s="19">
        <v>0.00504</v>
      </c>
      <c r="L428" s="19">
        <f>F428*K428</f>
        <v>0.2061864</v>
      </c>
      <c r="M428" s="33" t="s">
        <v>1177</v>
      </c>
      <c r="P428" s="37">
        <f>IF(AG428="5",J428,0)</f>
        <v>0</v>
      </c>
      <c r="R428" s="37">
        <f>IF(AG428="1",H428,0)</f>
        <v>0</v>
      </c>
      <c r="S428" s="37">
        <f>IF(AG428="1",I428,0)</f>
        <v>0</v>
      </c>
      <c r="T428" s="37">
        <f>IF(AG428="7",H428,0)</f>
        <v>0</v>
      </c>
      <c r="U428" s="37">
        <f>IF(AG428="7",I428,0)</f>
        <v>0</v>
      </c>
      <c r="V428" s="37">
        <f>IF(AG428="2",H428,0)</f>
        <v>0</v>
      </c>
      <c r="W428" s="37">
        <f>IF(AG428="2",I428,0)</f>
        <v>0</v>
      </c>
      <c r="X428" s="37">
        <f>IF(AG428="0",J428,0)</f>
        <v>0</v>
      </c>
      <c r="Y428" s="28"/>
      <c r="Z428" s="19">
        <f>IF(AD428=0,J428,0)</f>
        <v>0</v>
      </c>
      <c r="AA428" s="19">
        <f>IF(AD428=15,J428,0)</f>
        <v>0</v>
      </c>
      <c r="AB428" s="19">
        <f>IF(AD428=21,J428,0)</f>
        <v>0</v>
      </c>
      <c r="AD428" s="37">
        <v>21</v>
      </c>
      <c r="AE428" s="37">
        <f>G428*0.185121726032507</f>
        <v>0</v>
      </c>
      <c r="AF428" s="37">
        <f>G428*(1-0.185121726032507)</f>
        <v>0</v>
      </c>
      <c r="AG428" s="33" t="s">
        <v>13</v>
      </c>
      <c r="AM428" s="37">
        <f>F428*AE428</f>
        <v>0</v>
      </c>
      <c r="AN428" s="37">
        <f>F428*AF428</f>
        <v>0</v>
      </c>
      <c r="AO428" s="38" t="s">
        <v>1217</v>
      </c>
      <c r="AP428" s="38" t="s">
        <v>1232</v>
      </c>
      <c r="AQ428" s="28" t="s">
        <v>1234</v>
      </c>
      <c r="AS428" s="37">
        <f>AM428+AN428</f>
        <v>0</v>
      </c>
      <c r="AT428" s="37">
        <f>G428/(100-AU428)*100</f>
        <v>0</v>
      </c>
      <c r="AU428" s="37">
        <v>0</v>
      </c>
      <c r="AV428" s="37">
        <f>L428</f>
        <v>0.2061864</v>
      </c>
    </row>
    <row r="429" ht="12.75">
      <c r="D429" s="16" t="s">
        <v>1109</v>
      </c>
    </row>
    <row r="430" spans="1:48" ht="12.75">
      <c r="A430" s="7" t="s">
        <v>350</v>
      </c>
      <c r="B430" s="7"/>
      <c r="C430" s="7" t="s">
        <v>707</v>
      </c>
      <c r="D430" s="7" t="s">
        <v>1111</v>
      </c>
      <c r="E430" s="7" t="s">
        <v>1151</v>
      </c>
      <c r="F430" s="20">
        <v>42.9555</v>
      </c>
      <c r="G430" s="20">
        <v>0</v>
      </c>
      <c r="H430" s="20">
        <f>F430*AE430</f>
        <v>0</v>
      </c>
      <c r="I430" s="20">
        <f>J430-H430</f>
        <v>0</v>
      </c>
      <c r="J430" s="20">
        <f>F430*G430</f>
        <v>0</v>
      </c>
      <c r="K430" s="20">
        <v>0.0192</v>
      </c>
      <c r="L430" s="20">
        <f>F430*K430</f>
        <v>0.8247456</v>
      </c>
      <c r="M430" s="34" t="s">
        <v>1177</v>
      </c>
      <c r="P430" s="37">
        <f>IF(AG430="5",J430,0)</f>
        <v>0</v>
      </c>
      <c r="R430" s="37">
        <f>IF(AG430="1",H430,0)</f>
        <v>0</v>
      </c>
      <c r="S430" s="37">
        <f>IF(AG430="1",I430,0)</f>
        <v>0</v>
      </c>
      <c r="T430" s="37">
        <f>IF(AG430="7",H430,0)</f>
        <v>0</v>
      </c>
      <c r="U430" s="37">
        <f>IF(AG430="7",I430,0)</f>
        <v>0</v>
      </c>
      <c r="V430" s="37">
        <f>IF(AG430="2",H430,0)</f>
        <v>0</v>
      </c>
      <c r="W430" s="37">
        <f>IF(AG430="2",I430,0)</f>
        <v>0</v>
      </c>
      <c r="X430" s="37">
        <f>IF(AG430="0",J430,0)</f>
        <v>0</v>
      </c>
      <c r="Y430" s="28"/>
      <c r="Z430" s="20">
        <f>IF(AD430=0,J430,0)</f>
        <v>0</v>
      </c>
      <c r="AA430" s="20">
        <f>IF(AD430=15,J430,0)</f>
        <v>0</v>
      </c>
      <c r="AB430" s="20">
        <f>IF(AD430=21,J430,0)</f>
        <v>0</v>
      </c>
      <c r="AD430" s="37">
        <v>21</v>
      </c>
      <c r="AE430" s="37">
        <f>G430*1</f>
        <v>0</v>
      </c>
      <c r="AF430" s="37">
        <f>G430*(1-1)</f>
        <v>0</v>
      </c>
      <c r="AG430" s="34" t="s">
        <v>13</v>
      </c>
      <c r="AM430" s="37">
        <f>F430*AE430</f>
        <v>0</v>
      </c>
      <c r="AN430" s="37">
        <f>F430*AF430</f>
        <v>0</v>
      </c>
      <c r="AO430" s="38" t="s">
        <v>1217</v>
      </c>
      <c r="AP430" s="38" t="s">
        <v>1232</v>
      </c>
      <c r="AQ430" s="28" t="s">
        <v>1234</v>
      </c>
      <c r="AS430" s="37">
        <f>AM430+AN430</f>
        <v>0</v>
      </c>
      <c r="AT430" s="37">
        <f>G430/(100-AU430)*100</f>
        <v>0</v>
      </c>
      <c r="AU430" s="37">
        <v>0</v>
      </c>
      <c r="AV430" s="37">
        <f>L430</f>
        <v>0.8247456</v>
      </c>
    </row>
    <row r="431" spans="1:48" ht="12.75">
      <c r="A431" s="5" t="s">
        <v>351</v>
      </c>
      <c r="B431" s="5"/>
      <c r="C431" s="5" t="s">
        <v>710</v>
      </c>
      <c r="D431" s="5" t="s">
        <v>1114</v>
      </c>
      <c r="E431" s="5" t="s">
        <v>1154</v>
      </c>
      <c r="F431" s="19">
        <v>31.1</v>
      </c>
      <c r="G431" s="19">
        <v>0</v>
      </c>
      <c r="H431" s="19">
        <f>F431*AE431</f>
        <v>0</v>
      </c>
      <c r="I431" s="19">
        <f>J431-H431</f>
        <v>0</v>
      </c>
      <c r="J431" s="19">
        <f>F431*G431</f>
        <v>0</v>
      </c>
      <c r="K431" s="19">
        <v>0.00018</v>
      </c>
      <c r="L431" s="19">
        <f>F431*K431</f>
        <v>0.0055980000000000005</v>
      </c>
      <c r="M431" s="33" t="s">
        <v>1177</v>
      </c>
      <c r="P431" s="37">
        <f>IF(AG431="5",J431,0)</f>
        <v>0</v>
      </c>
      <c r="R431" s="37">
        <f>IF(AG431="1",H431,0)</f>
        <v>0</v>
      </c>
      <c r="S431" s="37">
        <f>IF(AG431="1",I431,0)</f>
        <v>0</v>
      </c>
      <c r="T431" s="37">
        <f>IF(AG431="7",H431,0)</f>
        <v>0</v>
      </c>
      <c r="U431" s="37">
        <f>IF(AG431="7",I431,0)</f>
        <v>0</v>
      </c>
      <c r="V431" s="37">
        <f>IF(AG431="2",H431,0)</f>
        <v>0</v>
      </c>
      <c r="W431" s="37">
        <f>IF(AG431="2",I431,0)</f>
        <v>0</v>
      </c>
      <c r="X431" s="37">
        <f>IF(AG431="0",J431,0)</f>
        <v>0</v>
      </c>
      <c r="Y431" s="28"/>
      <c r="Z431" s="19">
        <f>IF(AD431=0,J431,0)</f>
        <v>0</v>
      </c>
      <c r="AA431" s="19">
        <f>IF(AD431=15,J431,0)</f>
        <v>0</v>
      </c>
      <c r="AB431" s="19">
        <f>IF(AD431=21,J431,0)</f>
        <v>0</v>
      </c>
      <c r="AD431" s="37">
        <v>21</v>
      </c>
      <c r="AE431" s="37">
        <f>G431*0.666597222222222</f>
        <v>0</v>
      </c>
      <c r="AF431" s="37">
        <f>G431*(1-0.666597222222222)</f>
        <v>0</v>
      </c>
      <c r="AG431" s="33" t="s">
        <v>13</v>
      </c>
      <c r="AM431" s="37">
        <f>F431*AE431</f>
        <v>0</v>
      </c>
      <c r="AN431" s="37">
        <f>F431*AF431</f>
        <v>0</v>
      </c>
      <c r="AO431" s="38" t="s">
        <v>1217</v>
      </c>
      <c r="AP431" s="38" t="s">
        <v>1232</v>
      </c>
      <c r="AQ431" s="28" t="s">
        <v>1234</v>
      </c>
      <c r="AS431" s="37">
        <f>AM431+AN431</f>
        <v>0</v>
      </c>
      <c r="AT431" s="37">
        <f>G431/(100-AU431)*100</f>
        <v>0</v>
      </c>
      <c r="AU431" s="37">
        <v>0</v>
      </c>
      <c r="AV431" s="37">
        <f>L431</f>
        <v>0.0055980000000000005</v>
      </c>
    </row>
    <row r="432" spans="1:48" ht="12.75">
      <c r="A432" s="5" t="s">
        <v>352</v>
      </c>
      <c r="B432" s="5"/>
      <c r="C432" s="5" t="s">
        <v>711</v>
      </c>
      <c r="D432" s="5" t="s">
        <v>1115</v>
      </c>
      <c r="E432" s="5" t="s">
        <v>1151</v>
      </c>
      <c r="F432" s="19">
        <v>7.32</v>
      </c>
      <c r="G432" s="19">
        <v>0</v>
      </c>
      <c r="H432" s="19">
        <f>F432*AE432</f>
        <v>0</v>
      </c>
      <c r="I432" s="19">
        <f>J432-H432</f>
        <v>0</v>
      </c>
      <c r="J432" s="19">
        <f>F432*G432</f>
        <v>0</v>
      </c>
      <c r="K432" s="19">
        <v>0</v>
      </c>
      <c r="L432" s="19">
        <f>F432*K432</f>
        <v>0</v>
      </c>
      <c r="M432" s="33" t="s">
        <v>1177</v>
      </c>
      <c r="P432" s="37">
        <f>IF(AG432="5",J432,0)</f>
        <v>0</v>
      </c>
      <c r="R432" s="37">
        <f>IF(AG432="1",H432,0)</f>
        <v>0</v>
      </c>
      <c r="S432" s="37">
        <f>IF(AG432="1",I432,0)</f>
        <v>0</v>
      </c>
      <c r="T432" s="37">
        <f>IF(AG432="7",H432,0)</f>
        <v>0</v>
      </c>
      <c r="U432" s="37">
        <f>IF(AG432="7",I432,0)</f>
        <v>0</v>
      </c>
      <c r="V432" s="37">
        <f>IF(AG432="2",H432,0)</f>
        <v>0</v>
      </c>
      <c r="W432" s="37">
        <f>IF(AG432="2",I432,0)</f>
        <v>0</v>
      </c>
      <c r="X432" s="37">
        <f>IF(AG432="0",J432,0)</f>
        <v>0</v>
      </c>
      <c r="Y432" s="28"/>
      <c r="Z432" s="19">
        <f>IF(AD432=0,J432,0)</f>
        <v>0</v>
      </c>
      <c r="AA432" s="19">
        <f>IF(AD432=15,J432,0)</f>
        <v>0</v>
      </c>
      <c r="AB432" s="19">
        <f>IF(AD432=21,J432,0)</f>
        <v>0</v>
      </c>
      <c r="AD432" s="37">
        <v>21</v>
      </c>
      <c r="AE432" s="37">
        <f>G432*0</f>
        <v>0</v>
      </c>
      <c r="AF432" s="37">
        <f>G432*(1-0)</f>
        <v>0</v>
      </c>
      <c r="AG432" s="33" t="s">
        <v>13</v>
      </c>
      <c r="AM432" s="37">
        <f>F432*AE432</f>
        <v>0</v>
      </c>
      <c r="AN432" s="37">
        <f>F432*AF432</f>
        <v>0</v>
      </c>
      <c r="AO432" s="38" t="s">
        <v>1217</v>
      </c>
      <c r="AP432" s="38" t="s">
        <v>1232</v>
      </c>
      <c r="AQ432" s="28" t="s">
        <v>1234</v>
      </c>
      <c r="AS432" s="37">
        <f>AM432+AN432</f>
        <v>0</v>
      </c>
      <c r="AT432" s="37">
        <f>G432/(100-AU432)*100</f>
        <v>0</v>
      </c>
      <c r="AU432" s="37">
        <v>0</v>
      </c>
      <c r="AV432" s="37">
        <f>L432</f>
        <v>0</v>
      </c>
    </row>
    <row r="433" spans="1:48" ht="12.75">
      <c r="A433" s="5" t="s">
        <v>353</v>
      </c>
      <c r="B433" s="5"/>
      <c r="C433" s="5" t="s">
        <v>712</v>
      </c>
      <c r="D433" s="5" t="s">
        <v>1116</v>
      </c>
      <c r="E433" s="5" t="s">
        <v>1151</v>
      </c>
      <c r="F433" s="19">
        <v>40.91</v>
      </c>
      <c r="G433" s="19">
        <v>0</v>
      </c>
      <c r="H433" s="19">
        <f>F433*AE433</f>
        <v>0</v>
      </c>
      <c r="I433" s="19">
        <f>J433-H433</f>
        <v>0</v>
      </c>
      <c r="J433" s="19">
        <f>F433*G433</f>
        <v>0</v>
      </c>
      <c r="K433" s="19">
        <v>0.0008</v>
      </c>
      <c r="L433" s="19">
        <f>F433*K433</f>
        <v>0.032728</v>
      </c>
      <c r="M433" s="33" t="s">
        <v>1177</v>
      </c>
      <c r="P433" s="37">
        <f>IF(AG433="5",J433,0)</f>
        <v>0</v>
      </c>
      <c r="R433" s="37">
        <f>IF(AG433="1",H433,0)</f>
        <v>0</v>
      </c>
      <c r="S433" s="37">
        <f>IF(AG433="1",I433,0)</f>
        <v>0</v>
      </c>
      <c r="T433" s="37">
        <f>IF(AG433="7",H433,0)</f>
        <v>0</v>
      </c>
      <c r="U433" s="37">
        <f>IF(AG433="7",I433,0)</f>
        <v>0</v>
      </c>
      <c r="V433" s="37">
        <f>IF(AG433="2",H433,0)</f>
        <v>0</v>
      </c>
      <c r="W433" s="37">
        <f>IF(AG433="2",I433,0)</f>
        <v>0</v>
      </c>
      <c r="X433" s="37">
        <f>IF(AG433="0",J433,0)</f>
        <v>0</v>
      </c>
      <c r="Y433" s="28"/>
      <c r="Z433" s="19">
        <f>IF(AD433=0,J433,0)</f>
        <v>0</v>
      </c>
      <c r="AA433" s="19">
        <f>IF(AD433=15,J433,0)</f>
        <v>0</v>
      </c>
      <c r="AB433" s="19">
        <f>IF(AD433=21,J433,0)</f>
        <v>0</v>
      </c>
      <c r="AD433" s="37">
        <v>21</v>
      </c>
      <c r="AE433" s="37">
        <f>G433*0.999997530925162</f>
        <v>0</v>
      </c>
      <c r="AF433" s="37">
        <f>G433*(1-0.999997530925162)</f>
        <v>0</v>
      </c>
      <c r="AG433" s="33" t="s">
        <v>13</v>
      </c>
      <c r="AM433" s="37">
        <f>F433*AE433</f>
        <v>0</v>
      </c>
      <c r="AN433" s="37">
        <f>F433*AF433</f>
        <v>0</v>
      </c>
      <c r="AO433" s="38" t="s">
        <v>1217</v>
      </c>
      <c r="AP433" s="38" t="s">
        <v>1232</v>
      </c>
      <c r="AQ433" s="28" t="s">
        <v>1234</v>
      </c>
      <c r="AS433" s="37">
        <f>AM433+AN433</f>
        <v>0</v>
      </c>
      <c r="AT433" s="37">
        <f>G433/(100-AU433)*100</f>
        <v>0</v>
      </c>
      <c r="AU433" s="37">
        <v>0</v>
      </c>
      <c r="AV433" s="37">
        <f>L433</f>
        <v>0.032728</v>
      </c>
    </row>
    <row r="434" spans="1:48" ht="12.75">
      <c r="A434" s="5" t="s">
        <v>354</v>
      </c>
      <c r="B434" s="5"/>
      <c r="C434" s="5" t="s">
        <v>713</v>
      </c>
      <c r="D434" s="5" t="s">
        <v>1117</v>
      </c>
      <c r="E434" s="5" t="s">
        <v>1152</v>
      </c>
      <c r="F434" s="19">
        <v>1.1116</v>
      </c>
      <c r="G434" s="19">
        <v>0</v>
      </c>
      <c r="H434" s="19">
        <f>F434*AE434</f>
        <v>0</v>
      </c>
      <c r="I434" s="19">
        <f>J434-H434</f>
        <v>0</v>
      </c>
      <c r="J434" s="19">
        <f>F434*G434</f>
        <v>0</v>
      </c>
      <c r="K434" s="19">
        <v>0</v>
      </c>
      <c r="L434" s="19">
        <f>F434*K434</f>
        <v>0</v>
      </c>
      <c r="M434" s="33" t="s">
        <v>1177</v>
      </c>
      <c r="P434" s="37">
        <f>IF(AG434="5",J434,0)</f>
        <v>0</v>
      </c>
      <c r="R434" s="37">
        <f>IF(AG434="1",H434,0)</f>
        <v>0</v>
      </c>
      <c r="S434" s="37">
        <f>IF(AG434="1",I434,0)</f>
        <v>0</v>
      </c>
      <c r="T434" s="37">
        <f>IF(AG434="7",H434,0)</f>
        <v>0</v>
      </c>
      <c r="U434" s="37">
        <f>IF(AG434="7",I434,0)</f>
        <v>0</v>
      </c>
      <c r="V434" s="37">
        <f>IF(AG434="2",H434,0)</f>
        <v>0</v>
      </c>
      <c r="W434" s="37">
        <f>IF(AG434="2",I434,0)</f>
        <v>0</v>
      </c>
      <c r="X434" s="37">
        <f>IF(AG434="0",J434,0)</f>
        <v>0</v>
      </c>
      <c r="Y434" s="28"/>
      <c r="Z434" s="19">
        <f>IF(AD434=0,J434,0)</f>
        <v>0</v>
      </c>
      <c r="AA434" s="19">
        <f>IF(AD434=15,J434,0)</f>
        <v>0</v>
      </c>
      <c r="AB434" s="19">
        <f>IF(AD434=21,J434,0)</f>
        <v>0</v>
      </c>
      <c r="AD434" s="37">
        <v>21</v>
      </c>
      <c r="AE434" s="37">
        <f>G434*0</f>
        <v>0</v>
      </c>
      <c r="AF434" s="37">
        <f>G434*(1-0)</f>
        <v>0</v>
      </c>
      <c r="AG434" s="33" t="s">
        <v>11</v>
      </c>
      <c r="AM434" s="37">
        <f>F434*AE434</f>
        <v>0</v>
      </c>
      <c r="AN434" s="37">
        <f>F434*AF434</f>
        <v>0</v>
      </c>
      <c r="AO434" s="38" t="s">
        <v>1217</v>
      </c>
      <c r="AP434" s="38" t="s">
        <v>1232</v>
      </c>
      <c r="AQ434" s="28" t="s">
        <v>1234</v>
      </c>
      <c r="AS434" s="37">
        <f>AM434+AN434</f>
        <v>0</v>
      </c>
      <c r="AT434" s="37">
        <f>G434/(100-AU434)*100</f>
        <v>0</v>
      </c>
      <c r="AU434" s="37">
        <v>0</v>
      </c>
      <c r="AV434" s="37">
        <f>L434</f>
        <v>0</v>
      </c>
    </row>
    <row r="435" spans="1:37" ht="12.75">
      <c r="A435" s="6"/>
      <c r="B435" s="14"/>
      <c r="C435" s="14" t="s">
        <v>714</v>
      </c>
      <c r="D435" s="14" t="s">
        <v>1118</v>
      </c>
      <c r="E435" s="6" t="s">
        <v>6</v>
      </c>
      <c r="F435" s="6" t="s">
        <v>6</v>
      </c>
      <c r="G435" s="6" t="s">
        <v>6</v>
      </c>
      <c r="H435" s="40">
        <f>SUM(H436:H449)</f>
        <v>0</v>
      </c>
      <c r="I435" s="40">
        <f>SUM(I436:I449)</f>
        <v>0</v>
      </c>
      <c r="J435" s="40">
        <f>H435+I435</f>
        <v>0</v>
      </c>
      <c r="K435" s="28"/>
      <c r="L435" s="40">
        <f>SUM(L436:L449)</f>
        <v>0.6568088900000001</v>
      </c>
      <c r="M435" s="28"/>
      <c r="Y435" s="28"/>
      <c r="AI435" s="40">
        <f>SUM(Z436:Z449)</f>
        <v>0</v>
      </c>
      <c r="AJ435" s="40">
        <f>SUM(AA436:AA449)</f>
        <v>0</v>
      </c>
      <c r="AK435" s="40">
        <f>SUM(AB436:AB449)</f>
        <v>0</v>
      </c>
    </row>
    <row r="436" spans="1:48" ht="12.75">
      <c r="A436" s="5" t="s">
        <v>355</v>
      </c>
      <c r="B436" s="5"/>
      <c r="C436" s="5" t="s">
        <v>715</v>
      </c>
      <c r="D436" s="5" t="s">
        <v>1119</v>
      </c>
      <c r="E436" s="5" t="s">
        <v>1151</v>
      </c>
      <c r="F436" s="19">
        <v>46.65</v>
      </c>
      <c r="G436" s="19">
        <v>0</v>
      </c>
      <c r="H436" s="19">
        <f aca="true" t="shared" si="218" ref="H436:H446">F436*AE436</f>
        <v>0</v>
      </c>
      <c r="I436" s="19">
        <f aca="true" t="shared" si="219" ref="I436:I446">J436-H436</f>
        <v>0</v>
      </c>
      <c r="J436" s="19">
        <f aca="true" t="shared" si="220" ref="J436:J446">F436*G436</f>
        <v>0</v>
      </c>
      <c r="K436" s="19">
        <v>0.00021</v>
      </c>
      <c r="L436" s="19">
        <f aca="true" t="shared" si="221" ref="L436:L446">F436*K436</f>
        <v>0.0097965</v>
      </c>
      <c r="M436" s="33" t="s">
        <v>1177</v>
      </c>
      <c r="P436" s="37">
        <f aca="true" t="shared" si="222" ref="P436:P446">IF(AG436="5",J436,0)</f>
        <v>0</v>
      </c>
      <c r="R436" s="37">
        <f aca="true" t="shared" si="223" ref="R436:R446">IF(AG436="1",H436,0)</f>
        <v>0</v>
      </c>
      <c r="S436" s="37">
        <f aca="true" t="shared" si="224" ref="S436:S446">IF(AG436="1",I436,0)</f>
        <v>0</v>
      </c>
      <c r="T436" s="37">
        <f aca="true" t="shared" si="225" ref="T436:T446">IF(AG436="7",H436,0)</f>
        <v>0</v>
      </c>
      <c r="U436" s="37">
        <f aca="true" t="shared" si="226" ref="U436:U446">IF(AG436="7",I436,0)</f>
        <v>0</v>
      </c>
      <c r="V436" s="37">
        <f aca="true" t="shared" si="227" ref="V436:V446">IF(AG436="2",H436,0)</f>
        <v>0</v>
      </c>
      <c r="W436" s="37">
        <f aca="true" t="shared" si="228" ref="W436:W446">IF(AG436="2",I436,0)</f>
        <v>0</v>
      </c>
      <c r="X436" s="37">
        <f aca="true" t="shared" si="229" ref="X436:X446">IF(AG436="0",J436,0)</f>
        <v>0</v>
      </c>
      <c r="Y436" s="28"/>
      <c r="Z436" s="19">
        <f aca="true" t="shared" si="230" ref="Z436:Z446">IF(AD436=0,J436,0)</f>
        <v>0</v>
      </c>
      <c r="AA436" s="19">
        <f aca="true" t="shared" si="231" ref="AA436:AA446">IF(AD436=15,J436,0)</f>
        <v>0</v>
      </c>
      <c r="AB436" s="19">
        <f aca="true" t="shared" si="232" ref="AB436:AB446">IF(AD436=21,J436,0)</f>
        <v>0</v>
      </c>
      <c r="AD436" s="37">
        <v>21</v>
      </c>
      <c r="AE436" s="37">
        <f>G436*0.503921568627451</f>
        <v>0</v>
      </c>
      <c r="AF436" s="37">
        <f>G436*(1-0.503921568627451)</f>
        <v>0</v>
      </c>
      <c r="AG436" s="33" t="s">
        <v>13</v>
      </c>
      <c r="AM436" s="37">
        <f aca="true" t="shared" si="233" ref="AM436:AM446">F436*AE436</f>
        <v>0</v>
      </c>
      <c r="AN436" s="37">
        <f aca="true" t="shared" si="234" ref="AN436:AN446">F436*AF436</f>
        <v>0</v>
      </c>
      <c r="AO436" s="38" t="s">
        <v>1218</v>
      </c>
      <c r="AP436" s="38" t="s">
        <v>1233</v>
      </c>
      <c r="AQ436" s="28" t="s">
        <v>1234</v>
      </c>
      <c r="AS436" s="37">
        <f aca="true" t="shared" si="235" ref="AS436:AS446">AM436+AN436</f>
        <v>0</v>
      </c>
      <c r="AT436" s="37">
        <f aca="true" t="shared" si="236" ref="AT436:AT446">G436/(100-AU436)*100</f>
        <v>0</v>
      </c>
      <c r="AU436" s="37">
        <v>0</v>
      </c>
      <c r="AV436" s="37">
        <f aca="true" t="shared" si="237" ref="AV436:AV446">L436</f>
        <v>0.0097965</v>
      </c>
    </row>
    <row r="437" spans="1:48" ht="12.75">
      <c r="A437" s="5" t="s">
        <v>356</v>
      </c>
      <c r="B437" s="5"/>
      <c r="C437" s="5" t="s">
        <v>716</v>
      </c>
      <c r="D437" s="5" t="s">
        <v>1120</v>
      </c>
      <c r="E437" s="5" t="s">
        <v>1153</v>
      </c>
      <c r="F437" s="19">
        <v>6</v>
      </c>
      <c r="G437" s="19">
        <v>0</v>
      </c>
      <c r="H437" s="19">
        <f t="shared" si="218"/>
        <v>0</v>
      </c>
      <c r="I437" s="19">
        <f t="shared" si="219"/>
        <v>0</v>
      </c>
      <c r="J437" s="19">
        <f t="shared" si="220"/>
        <v>0</v>
      </c>
      <c r="K437" s="19">
        <v>0</v>
      </c>
      <c r="L437" s="19">
        <f t="shared" si="221"/>
        <v>0</v>
      </c>
      <c r="M437" s="33" t="s">
        <v>1177</v>
      </c>
      <c r="P437" s="37">
        <f t="shared" si="222"/>
        <v>0</v>
      </c>
      <c r="R437" s="37">
        <f t="shared" si="223"/>
        <v>0</v>
      </c>
      <c r="S437" s="37">
        <f t="shared" si="224"/>
        <v>0</v>
      </c>
      <c r="T437" s="37">
        <f t="shared" si="225"/>
        <v>0</v>
      </c>
      <c r="U437" s="37">
        <f t="shared" si="226"/>
        <v>0</v>
      </c>
      <c r="V437" s="37">
        <f t="shared" si="227"/>
        <v>0</v>
      </c>
      <c r="W437" s="37">
        <f t="shared" si="228"/>
        <v>0</v>
      </c>
      <c r="X437" s="37">
        <f t="shared" si="229"/>
        <v>0</v>
      </c>
      <c r="Y437" s="28"/>
      <c r="Z437" s="19">
        <f t="shared" si="230"/>
        <v>0</v>
      </c>
      <c r="AA437" s="19">
        <f t="shared" si="231"/>
        <v>0</v>
      </c>
      <c r="AB437" s="19">
        <f t="shared" si="232"/>
        <v>0</v>
      </c>
      <c r="AD437" s="37">
        <v>21</v>
      </c>
      <c r="AE437" s="37">
        <f>G437*0.0243373493975904</f>
        <v>0</v>
      </c>
      <c r="AF437" s="37">
        <f>G437*(1-0.0243373493975904)</f>
        <v>0</v>
      </c>
      <c r="AG437" s="33" t="s">
        <v>13</v>
      </c>
      <c r="AM437" s="37">
        <f t="shared" si="233"/>
        <v>0</v>
      </c>
      <c r="AN437" s="37">
        <f t="shared" si="234"/>
        <v>0</v>
      </c>
      <c r="AO437" s="38" t="s">
        <v>1218</v>
      </c>
      <c r="AP437" s="38" t="s">
        <v>1233</v>
      </c>
      <c r="AQ437" s="28" t="s">
        <v>1234</v>
      </c>
      <c r="AS437" s="37">
        <f t="shared" si="235"/>
        <v>0</v>
      </c>
      <c r="AT437" s="37">
        <f t="shared" si="236"/>
        <v>0</v>
      </c>
      <c r="AU437" s="37">
        <v>0</v>
      </c>
      <c r="AV437" s="37">
        <f t="shared" si="237"/>
        <v>0</v>
      </c>
    </row>
    <row r="438" spans="1:48" ht="12.75">
      <c r="A438" s="5" t="s">
        <v>357</v>
      </c>
      <c r="B438" s="5"/>
      <c r="C438" s="5" t="s">
        <v>717</v>
      </c>
      <c r="D438" s="5" t="s">
        <v>1121</v>
      </c>
      <c r="E438" s="5" t="s">
        <v>1153</v>
      </c>
      <c r="F438" s="19">
        <v>9</v>
      </c>
      <c r="G438" s="19">
        <v>0</v>
      </c>
      <c r="H438" s="19">
        <f t="shared" si="218"/>
        <v>0</v>
      </c>
      <c r="I438" s="19">
        <f t="shared" si="219"/>
        <v>0</v>
      </c>
      <c r="J438" s="19">
        <f t="shared" si="220"/>
        <v>0</v>
      </c>
      <c r="K438" s="19">
        <v>0</v>
      </c>
      <c r="L438" s="19">
        <f t="shared" si="221"/>
        <v>0</v>
      </c>
      <c r="M438" s="33" t="s">
        <v>1177</v>
      </c>
      <c r="P438" s="37">
        <f t="shared" si="222"/>
        <v>0</v>
      </c>
      <c r="R438" s="37">
        <f t="shared" si="223"/>
        <v>0</v>
      </c>
      <c r="S438" s="37">
        <f t="shared" si="224"/>
        <v>0</v>
      </c>
      <c r="T438" s="37">
        <f t="shared" si="225"/>
        <v>0</v>
      </c>
      <c r="U438" s="37">
        <f t="shared" si="226"/>
        <v>0</v>
      </c>
      <c r="V438" s="37">
        <f t="shared" si="227"/>
        <v>0</v>
      </c>
      <c r="W438" s="37">
        <f t="shared" si="228"/>
        <v>0</v>
      </c>
      <c r="X438" s="37">
        <f t="shared" si="229"/>
        <v>0</v>
      </c>
      <c r="Y438" s="28"/>
      <c r="Z438" s="19">
        <f t="shared" si="230"/>
        <v>0</v>
      </c>
      <c r="AA438" s="19">
        <f t="shared" si="231"/>
        <v>0</v>
      </c>
      <c r="AB438" s="19">
        <f t="shared" si="232"/>
        <v>0</v>
      </c>
      <c r="AD438" s="37">
        <v>21</v>
      </c>
      <c r="AE438" s="37">
        <f>G438*0.0790890269151139</f>
        <v>0</v>
      </c>
      <c r="AF438" s="37">
        <f>G438*(1-0.0790890269151139)</f>
        <v>0</v>
      </c>
      <c r="AG438" s="33" t="s">
        <v>13</v>
      </c>
      <c r="AM438" s="37">
        <f t="shared" si="233"/>
        <v>0</v>
      </c>
      <c r="AN438" s="37">
        <f t="shared" si="234"/>
        <v>0</v>
      </c>
      <c r="AO438" s="38" t="s">
        <v>1218</v>
      </c>
      <c r="AP438" s="38" t="s">
        <v>1233</v>
      </c>
      <c r="AQ438" s="28" t="s">
        <v>1234</v>
      </c>
      <c r="AS438" s="37">
        <f t="shared" si="235"/>
        <v>0</v>
      </c>
      <c r="AT438" s="37">
        <f t="shared" si="236"/>
        <v>0</v>
      </c>
      <c r="AU438" s="37">
        <v>0</v>
      </c>
      <c r="AV438" s="37">
        <f t="shared" si="237"/>
        <v>0</v>
      </c>
    </row>
    <row r="439" spans="1:48" ht="12.75">
      <c r="A439" s="5" t="s">
        <v>358</v>
      </c>
      <c r="B439" s="5"/>
      <c r="C439" s="5" t="s">
        <v>718</v>
      </c>
      <c r="D439" s="5" t="s">
        <v>1122</v>
      </c>
      <c r="E439" s="5" t="s">
        <v>1154</v>
      </c>
      <c r="F439" s="19">
        <v>67.1</v>
      </c>
      <c r="G439" s="19">
        <v>0</v>
      </c>
      <c r="H439" s="19">
        <f t="shared" si="218"/>
        <v>0</v>
      </c>
      <c r="I439" s="19">
        <f t="shared" si="219"/>
        <v>0</v>
      </c>
      <c r="J439" s="19">
        <f t="shared" si="220"/>
        <v>0</v>
      </c>
      <c r="K439" s="19">
        <v>0</v>
      </c>
      <c r="L439" s="19">
        <f t="shared" si="221"/>
        <v>0</v>
      </c>
      <c r="M439" s="33" t="s">
        <v>1177</v>
      </c>
      <c r="P439" s="37">
        <f t="shared" si="222"/>
        <v>0</v>
      </c>
      <c r="R439" s="37">
        <f t="shared" si="223"/>
        <v>0</v>
      </c>
      <c r="S439" s="37">
        <f t="shared" si="224"/>
        <v>0</v>
      </c>
      <c r="T439" s="37">
        <f t="shared" si="225"/>
        <v>0</v>
      </c>
      <c r="U439" s="37">
        <f t="shared" si="226"/>
        <v>0</v>
      </c>
      <c r="V439" s="37">
        <f t="shared" si="227"/>
        <v>0</v>
      </c>
      <c r="W439" s="37">
        <f t="shared" si="228"/>
        <v>0</v>
      </c>
      <c r="X439" s="37">
        <f t="shared" si="229"/>
        <v>0</v>
      </c>
      <c r="Y439" s="28"/>
      <c r="Z439" s="19">
        <f t="shared" si="230"/>
        <v>0</v>
      </c>
      <c r="AA439" s="19">
        <f t="shared" si="231"/>
        <v>0</v>
      </c>
      <c r="AB439" s="19">
        <f t="shared" si="232"/>
        <v>0</v>
      </c>
      <c r="AD439" s="37">
        <v>21</v>
      </c>
      <c r="AE439" s="37">
        <f>G439*0</f>
        <v>0</v>
      </c>
      <c r="AF439" s="37">
        <f>G439*(1-0)</f>
        <v>0</v>
      </c>
      <c r="AG439" s="33" t="s">
        <v>13</v>
      </c>
      <c r="AM439" s="37">
        <f t="shared" si="233"/>
        <v>0</v>
      </c>
      <c r="AN439" s="37">
        <f t="shared" si="234"/>
        <v>0</v>
      </c>
      <c r="AO439" s="38" t="s">
        <v>1218</v>
      </c>
      <c r="AP439" s="38" t="s">
        <v>1233</v>
      </c>
      <c r="AQ439" s="28" t="s">
        <v>1234</v>
      </c>
      <c r="AS439" s="37">
        <f t="shared" si="235"/>
        <v>0</v>
      </c>
      <c r="AT439" s="37">
        <f t="shared" si="236"/>
        <v>0</v>
      </c>
      <c r="AU439" s="37">
        <v>0</v>
      </c>
      <c r="AV439" s="37">
        <f t="shared" si="237"/>
        <v>0</v>
      </c>
    </row>
    <row r="440" spans="1:48" ht="12.75">
      <c r="A440" s="7" t="s">
        <v>359</v>
      </c>
      <c r="B440" s="7"/>
      <c r="C440" s="7" t="s">
        <v>719</v>
      </c>
      <c r="D440" s="7" t="s">
        <v>1123</v>
      </c>
      <c r="E440" s="7" t="s">
        <v>1154</v>
      </c>
      <c r="F440" s="20">
        <v>19.041</v>
      </c>
      <c r="G440" s="20">
        <v>0</v>
      </c>
      <c r="H440" s="20">
        <f t="shared" si="218"/>
        <v>0</v>
      </c>
      <c r="I440" s="20">
        <f t="shared" si="219"/>
        <v>0</v>
      </c>
      <c r="J440" s="20">
        <f t="shared" si="220"/>
        <v>0</v>
      </c>
      <c r="K440" s="20">
        <v>0.00015</v>
      </c>
      <c r="L440" s="20">
        <f t="shared" si="221"/>
        <v>0.00285615</v>
      </c>
      <c r="M440" s="34" t="s">
        <v>1177</v>
      </c>
      <c r="P440" s="37">
        <f t="shared" si="222"/>
        <v>0</v>
      </c>
      <c r="R440" s="37">
        <f t="shared" si="223"/>
        <v>0</v>
      </c>
      <c r="S440" s="37">
        <f t="shared" si="224"/>
        <v>0</v>
      </c>
      <c r="T440" s="37">
        <f t="shared" si="225"/>
        <v>0</v>
      </c>
      <c r="U440" s="37">
        <f t="shared" si="226"/>
        <v>0</v>
      </c>
      <c r="V440" s="37">
        <f t="shared" si="227"/>
        <v>0</v>
      </c>
      <c r="W440" s="37">
        <f t="shared" si="228"/>
        <v>0</v>
      </c>
      <c r="X440" s="37">
        <f t="shared" si="229"/>
        <v>0</v>
      </c>
      <c r="Y440" s="28"/>
      <c r="Z440" s="20">
        <f t="shared" si="230"/>
        <v>0</v>
      </c>
      <c r="AA440" s="20">
        <f t="shared" si="231"/>
        <v>0</v>
      </c>
      <c r="AB440" s="20">
        <f t="shared" si="232"/>
        <v>0</v>
      </c>
      <c r="AD440" s="37">
        <v>21</v>
      </c>
      <c r="AE440" s="37">
        <f>G440*1</f>
        <v>0</v>
      </c>
      <c r="AF440" s="37">
        <f>G440*(1-1)</f>
        <v>0</v>
      </c>
      <c r="AG440" s="34" t="s">
        <v>13</v>
      </c>
      <c r="AM440" s="37">
        <f t="shared" si="233"/>
        <v>0</v>
      </c>
      <c r="AN440" s="37">
        <f t="shared" si="234"/>
        <v>0</v>
      </c>
      <c r="AO440" s="38" t="s">
        <v>1218</v>
      </c>
      <c r="AP440" s="38" t="s">
        <v>1233</v>
      </c>
      <c r="AQ440" s="28" t="s">
        <v>1234</v>
      </c>
      <c r="AS440" s="37">
        <f t="shared" si="235"/>
        <v>0</v>
      </c>
      <c r="AT440" s="37">
        <f t="shared" si="236"/>
        <v>0</v>
      </c>
      <c r="AU440" s="37">
        <v>0</v>
      </c>
      <c r="AV440" s="37">
        <f t="shared" si="237"/>
        <v>0.00285615</v>
      </c>
    </row>
    <row r="441" spans="1:48" ht="12.75">
      <c r="A441" s="7" t="s">
        <v>360</v>
      </c>
      <c r="B441" s="7"/>
      <c r="C441" s="7" t="s">
        <v>720</v>
      </c>
      <c r="D441" s="7" t="s">
        <v>1124</v>
      </c>
      <c r="E441" s="7" t="s">
        <v>1154</v>
      </c>
      <c r="F441" s="20">
        <v>28.369</v>
      </c>
      <c r="G441" s="20">
        <v>0</v>
      </c>
      <c r="H441" s="20">
        <f t="shared" si="218"/>
        <v>0</v>
      </c>
      <c r="I441" s="20">
        <f t="shared" si="219"/>
        <v>0</v>
      </c>
      <c r="J441" s="20">
        <f t="shared" si="220"/>
        <v>0</v>
      </c>
      <c r="K441" s="20">
        <v>0</v>
      </c>
      <c r="L441" s="20">
        <f t="shared" si="221"/>
        <v>0</v>
      </c>
      <c r="M441" s="34" t="s">
        <v>1177</v>
      </c>
      <c r="P441" s="37">
        <f t="shared" si="222"/>
        <v>0</v>
      </c>
      <c r="R441" s="37">
        <f t="shared" si="223"/>
        <v>0</v>
      </c>
      <c r="S441" s="37">
        <f t="shared" si="224"/>
        <v>0</v>
      </c>
      <c r="T441" s="37">
        <f t="shared" si="225"/>
        <v>0</v>
      </c>
      <c r="U441" s="37">
        <f t="shared" si="226"/>
        <v>0</v>
      </c>
      <c r="V441" s="37">
        <f t="shared" si="227"/>
        <v>0</v>
      </c>
      <c r="W441" s="37">
        <f t="shared" si="228"/>
        <v>0</v>
      </c>
      <c r="X441" s="37">
        <f t="shared" si="229"/>
        <v>0</v>
      </c>
      <c r="Y441" s="28"/>
      <c r="Z441" s="20">
        <f t="shared" si="230"/>
        <v>0</v>
      </c>
      <c r="AA441" s="20">
        <f t="shared" si="231"/>
        <v>0</v>
      </c>
      <c r="AB441" s="20">
        <f t="shared" si="232"/>
        <v>0</v>
      </c>
      <c r="AD441" s="37">
        <v>21</v>
      </c>
      <c r="AE441" s="37">
        <f>G441*1</f>
        <v>0</v>
      </c>
      <c r="AF441" s="37">
        <f>G441*(1-1)</f>
        <v>0</v>
      </c>
      <c r="AG441" s="34" t="s">
        <v>13</v>
      </c>
      <c r="AM441" s="37">
        <f t="shared" si="233"/>
        <v>0</v>
      </c>
      <c r="AN441" s="37">
        <f t="shared" si="234"/>
        <v>0</v>
      </c>
      <c r="AO441" s="38" t="s">
        <v>1218</v>
      </c>
      <c r="AP441" s="38" t="s">
        <v>1233</v>
      </c>
      <c r="AQ441" s="28" t="s">
        <v>1234</v>
      </c>
      <c r="AS441" s="37">
        <f t="shared" si="235"/>
        <v>0</v>
      </c>
      <c r="AT441" s="37">
        <f t="shared" si="236"/>
        <v>0</v>
      </c>
      <c r="AU441" s="37">
        <v>0</v>
      </c>
      <c r="AV441" s="37">
        <f t="shared" si="237"/>
        <v>0</v>
      </c>
    </row>
    <row r="442" spans="1:48" ht="12.75">
      <c r="A442" s="7" t="s">
        <v>361</v>
      </c>
      <c r="B442" s="7"/>
      <c r="C442" s="7" t="s">
        <v>721</v>
      </c>
      <c r="D442" s="7" t="s">
        <v>1125</v>
      </c>
      <c r="E442" s="7" t="s">
        <v>1154</v>
      </c>
      <c r="F442" s="20">
        <v>26.4</v>
      </c>
      <c r="G442" s="20">
        <v>0</v>
      </c>
      <c r="H442" s="20">
        <f t="shared" si="218"/>
        <v>0</v>
      </c>
      <c r="I442" s="20">
        <f t="shared" si="219"/>
        <v>0</v>
      </c>
      <c r="J442" s="20">
        <f t="shared" si="220"/>
        <v>0</v>
      </c>
      <c r="K442" s="20">
        <v>0.00016</v>
      </c>
      <c r="L442" s="20">
        <f t="shared" si="221"/>
        <v>0.004224</v>
      </c>
      <c r="M442" s="34" t="s">
        <v>1177</v>
      </c>
      <c r="P442" s="37">
        <f t="shared" si="222"/>
        <v>0</v>
      </c>
      <c r="R442" s="37">
        <f t="shared" si="223"/>
        <v>0</v>
      </c>
      <c r="S442" s="37">
        <f t="shared" si="224"/>
        <v>0</v>
      </c>
      <c r="T442" s="37">
        <f t="shared" si="225"/>
        <v>0</v>
      </c>
      <c r="U442" s="37">
        <f t="shared" si="226"/>
        <v>0</v>
      </c>
      <c r="V442" s="37">
        <f t="shared" si="227"/>
        <v>0</v>
      </c>
      <c r="W442" s="37">
        <f t="shared" si="228"/>
        <v>0</v>
      </c>
      <c r="X442" s="37">
        <f t="shared" si="229"/>
        <v>0</v>
      </c>
      <c r="Y442" s="28"/>
      <c r="Z442" s="20">
        <f t="shared" si="230"/>
        <v>0</v>
      </c>
      <c r="AA442" s="20">
        <f t="shared" si="231"/>
        <v>0</v>
      </c>
      <c r="AB442" s="20">
        <f t="shared" si="232"/>
        <v>0</v>
      </c>
      <c r="AD442" s="37">
        <v>21</v>
      </c>
      <c r="AE442" s="37">
        <f>G442*1</f>
        <v>0</v>
      </c>
      <c r="AF442" s="37">
        <f>G442*(1-1)</f>
        <v>0</v>
      </c>
      <c r="AG442" s="34" t="s">
        <v>13</v>
      </c>
      <c r="AM442" s="37">
        <f t="shared" si="233"/>
        <v>0</v>
      </c>
      <c r="AN442" s="37">
        <f t="shared" si="234"/>
        <v>0</v>
      </c>
      <c r="AO442" s="38" t="s">
        <v>1218</v>
      </c>
      <c r="AP442" s="38" t="s">
        <v>1233</v>
      </c>
      <c r="AQ442" s="28" t="s">
        <v>1234</v>
      </c>
      <c r="AS442" s="37">
        <f t="shared" si="235"/>
        <v>0</v>
      </c>
      <c r="AT442" s="37">
        <f t="shared" si="236"/>
        <v>0</v>
      </c>
      <c r="AU442" s="37">
        <v>0</v>
      </c>
      <c r="AV442" s="37">
        <f t="shared" si="237"/>
        <v>0.004224</v>
      </c>
    </row>
    <row r="443" spans="1:48" ht="12.75">
      <c r="A443" s="5" t="s">
        <v>362</v>
      </c>
      <c r="B443" s="5"/>
      <c r="C443" s="5" t="s">
        <v>722</v>
      </c>
      <c r="D443" s="5" t="s">
        <v>1126</v>
      </c>
      <c r="E443" s="5" t="s">
        <v>1151</v>
      </c>
      <c r="F443" s="19">
        <v>46.65</v>
      </c>
      <c r="G443" s="19">
        <v>0</v>
      </c>
      <c r="H443" s="19">
        <f t="shared" si="218"/>
        <v>0</v>
      </c>
      <c r="I443" s="19">
        <f t="shared" si="219"/>
        <v>0</v>
      </c>
      <c r="J443" s="19">
        <f t="shared" si="220"/>
        <v>0</v>
      </c>
      <c r="K443" s="19">
        <v>0</v>
      </c>
      <c r="L443" s="19">
        <f t="shared" si="221"/>
        <v>0</v>
      </c>
      <c r="M443" s="33" t="s">
        <v>1177</v>
      </c>
      <c r="P443" s="37">
        <f t="shared" si="222"/>
        <v>0</v>
      </c>
      <c r="R443" s="37">
        <f t="shared" si="223"/>
        <v>0</v>
      </c>
      <c r="S443" s="37">
        <f t="shared" si="224"/>
        <v>0</v>
      </c>
      <c r="T443" s="37">
        <f t="shared" si="225"/>
        <v>0</v>
      </c>
      <c r="U443" s="37">
        <f t="shared" si="226"/>
        <v>0</v>
      </c>
      <c r="V443" s="37">
        <f t="shared" si="227"/>
        <v>0</v>
      </c>
      <c r="W443" s="37">
        <f t="shared" si="228"/>
        <v>0</v>
      </c>
      <c r="X443" s="37">
        <f t="shared" si="229"/>
        <v>0</v>
      </c>
      <c r="Y443" s="28"/>
      <c r="Z443" s="19">
        <f t="shared" si="230"/>
        <v>0</v>
      </c>
      <c r="AA443" s="19">
        <f t="shared" si="231"/>
        <v>0</v>
      </c>
      <c r="AB443" s="19">
        <f t="shared" si="232"/>
        <v>0</v>
      </c>
      <c r="AD443" s="37">
        <v>21</v>
      </c>
      <c r="AE443" s="37">
        <f>G443*0</f>
        <v>0</v>
      </c>
      <c r="AF443" s="37">
        <f>G443*(1-0)</f>
        <v>0</v>
      </c>
      <c r="AG443" s="33" t="s">
        <v>13</v>
      </c>
      <c r="AM443" s="37">
        <f t="shared" si="233"/>
        <v>0</v>
      </c>
      <c r="AN443" s="37">
        <f t="shared" si="234"/>
        <v>0</v>
      </c>
      <c r="AO443" s="38" t="s">
        <v>1218</v>
      </c>
      <c r="AP443" s="38" t="s">
        <v>1233</v>
      </c>
      <c r="AQ443" s="28" t="s">
        <v>1234</v>
      </c>
      <c r="AS443" s="37">
        <f t="shared" si="235"/>
        <v>0</v>
      </c>
      <c r="AT443" s="37">
        <f t="shared" si="236"/>
        <v>0</v>
      </c>
      <c r="AU443" s="37">
        <v>0</v>
      </c>
      <c r="AV443" s="37">
        <f t="shared" si="237"/>
        <v>0</v>
      </c>
    </row>
    <row r="444" spans="1:48" ht="12.75">
      <c r="A444" s="7" t="s">
        <v>363</v>
      </c>
      <c r="B444" s="7"/>
      <c r="C444" s="7" t="s">
        <v>723</v>
      </c>
      <c r="D444" s="7" t="s">
        <v>1127</v>
      </c>
      <c r="E444" s="7" t="s">
        <v>1151</v>
      </c>
      <c r="F444" s="20">
        <v>48.9825</v>
      </c>
      <c r="G444" s="20">
        <v>0</v>
      </c>
      <c r="H444" s="20">
        <f t="shared" si="218"/>
        <v>0</v>
      </c>
      <c r="I444" s="20">
        <f t="shared" si="219"/>
        <v>0</v>
      </c>
      <c r="J444" s="20">
        <f t="shared" si="220"/>
        <v>0</v>
      </c>
      <c r="K444" s="20">
        <v>0.0122</v>
      </c>
      <c r="L444" s="20">
        <f t="shared" si="221"/>
        <v>0.5975865</v>
      </c>
      <c r="M444" s="34" t="s">
        <v>1177</v>
      </c>
      <c r="P444" s="37">
        <f t="shared" si="222"/>
        <v>0</v>
      </c>
      <c r="R444" s="37">
        <f t="shared" si="223"/>
        <v>0</v>
      </c>
      <c r="S444" s="37">
        <f t="shared" si="224"/>
        <v>0</v>
      </c>
      <c r="T444" s="37">
        <f t="shared" si="225"/>
        <v>0</v>
      </c>
      <c r="U444" s="37">
        <f t="shared" si="226"/>
        <v>0</v>
      </c>
      <c r="V444" s="37">
        <f t="shared" si="227"/>
        <v>0</v>
      </c>
      <c r="W444" s="37">
        <f t="shared" si="228"/>
        <v>0</v>
      </c>
      <c r="X444" s="37">
        <f t="shared" si="229"/>
        <v>0</v>
      </c>
      <c r="Y444" s="28"/>
      <c r="Z444" s="20">
        <f t="shared" si="230"/>
        <v>0</v>
      </c>
      <c r="AA444" s="20">
        <f t="shared" si="231"/>
        <v>0</v>
      </c>
      <c r="AB444" s="20">
        <f t="shared" si="232"/>
        <v>0</v>
      </c>
      <c r="AD444" s="37">
        <v>21</v>
      </c>
      <c r="AE444" s="37">
        <f>G444*1</f>
        <v>0</v>
      </c>
      <c r="AF444" s="37">
        <f>G444*(1-1)</f>
        <v>0</v>
      </c>
      <c r="AG444" s="34" t="s">
        <v>13</v>
      </c>
      <c r="AM444" s="37">
        <f t="shared" si="233"/>
        <v>0</v>
      </c>
      <c r="AN444" s="37">
        <f t="shared" si="234"/>
        <v>0</v>
      </c>
      <c r="AO444" s="38" t="s">
        <v>1218</v>
      </c>
      <c r="AP444" s="38" t="s">
        <v>1233</v>
      </c>
      <c r="AQ444" s="28" t="s">
        <v>1234</v>
      </c>
      <c r="AS444" s="37">
        <f t="shared" si="235"/>
        <v>0</v>
      </c>
      <c r="AT444" s="37">
        <f t="shared" si="236"/>
        <v>0</v>
      </c>
      <c r="AU444" s="37">
        <v>0</v>
      </c>
      <c r="AV444" s="37">
        <f t="shared" si="237"/>
        <v>0.5975865</v>
      </c>
    </row>
    <row r="445" spans="1:48" ht="12.75">
      <c r="A445" s="5" t="s">
        <v>364</v>
      </c>
      <c r="B445" s="5"/>
      <c r="C445" s="5" t="s">
        <v>724</v>
      </c>
      <c r="D445" s="5" t="s">
        <v>1128</v>
      </c>
      <c r="E445" s="5" t="s">
        <v>1151</v>
      </c>
      <c r="F445" s="19">
        <v>48.691</v>
      </c>
      <c r="G445" s="19">
        <v>0</v>
      </c>
      <c r="H445" s="19">
        <f t="shared" si="218"/>
        <v>0</v>
      </c>
      <c r="I445" s="19">
        <f t="shared" si="219"/>
        <v>0</v>
      </c>
      <c r="J445" s="19">
        <f t="shared" si="220"/>
        <v>0</v>
      </c>
      <c r="K445" s="19">
        <v>0.00011</v>
      </c>
      <c r="L445" s="19">
        <f t="shared" si="221"/>
        <v>0.0053560100000000005</v>
      </c>
      <c r="M445" s="33" t="s">
        <v>1177</v>
      </c>
      <c r="P445" s="37">
        <f t="shared" si="222"/>
        <v>0</v>
      </c>
      <c r="R445" s="37">
        <f t="shared" si="223"/>
        <v>0</v>
      </c>
      <c r="S445" s="37">
        <f t="shared" si="224"/>
        <v>0</v>
      </c>
      <c r="T445" s="37">
        <f t="shared" si="225"/>
        <v>0</v>
      </c>
      <c r="U445" s="37">
        <f t="shared" si="226"/>
        <v>0</v>
      </c>
      <c r="V445" s="37">
        <f t="shared" si="227"/>
        <v>0</v>
      </c>
      <c r="W445" s="37">
        <f t="shared" si="228"/>
        <v>0</v>
      </c>
      <c r="X445" s="37">
        <f t="shared" si="229"/>
        <v>0</v>
      </c>
      <c r="Y445" s="28"/>
      <c r="Z445" s="19">
        <f t="shared" si="230"/>
        <v>0</v>
      </c>
      <c r="AA445" s="19">
        <f t="shared" si="231"/>
        <v>0</v>
      </c>
      <c r="AB445" s="19">
        <f t="shared" si="232"/>
        <v>0</v>
      </c>
      <c r="AD445" s="37">
        <v>21</v>
      </c>
      <c r="AE445" s="37">
        <f>G445*1.00000186706497</f>
        <v>0</v>
      </c>
      <c r="AF445" s="37">
        <f>G445*(1-1.00000186706497)</f>
        <v>0</v>
      </c>
      <c r="AG445" s="33" t="s">
        <v>13</v>
      </c>
      <c r="AM445" s="37">
        <f t="shared" si="233"/>
        <v>0</v>
      </c>
      <c r="AN445" s="37">
        <f t="shared" si="234"/>
        <v>0</v>
      </c>
      <c r="AO445" s="38" t="s">
        <v>1218</v>
      </c>
      <c r="AP445" s="38" t="s">
        <v>1233</v>
      </c>
      <c r="AQ445" s="28" t="s">
        <v>1234</v>
      </c>
      <c r="AS445" s="37">
        <f t="shared" si="235"/>
        <v>0</v>
      </c>
      <c r="AT445" s="37">
        <f t="shared" si="236"/>
        <v>0</v>
      </c>
      <c r="AU445" s="37">
        <v>0</v>
      </c>
      <c r="AV445" s="37">
        <f t="shared" si="237"/>
        <v>0.0053560100000000005</v>
      </c>
    </row>
    <row r="446" spans="1:48" ht="12.75">
      <c r="A446" s="5" t="s">
        <v>365</v>
      </c>
      <c r="B446" s="5"/>
      <c r="C446" s="5" t="s">
        <v>725</v>
      </c>
      <c r="D446" s="5" t="s">
        <v>1129</v>
      </c>
      <c r="E446" s="5" t="s">
        <v>1154</v>
      </c>
      <c r="F446" s="19">
        <v>15.19</v>
      </c>
      <c r="G446" s="19">
        <v>0</v>
      </c>
      <c r="H446" s="19">
        <f t="shared" si="218"/>
        <v>0</v>
      </c>
      <c r="I446" s="19">
        <f t="shared" si="219"/>
        <v>0</v>
      </c>
      <c r="J446" s="19">
        <f t="shared" si="220"/>
        <v>0</v>
      </c>
      <c r="K446" s="19">
        <v>0.00055</v>
      </c>
      <c r="L446" s="19">
        <f t="shared" si="221"/>
        <v>0.0083545</v>
      </c>
      <c r="M446" s="33" t="s">
        <v>1177</v>
      </c>
      <c r="P446" s="37">
        <f t="shared" si="222"/>
        <v>0</v>
      </c>
      <c r="R446" s="37">
        <f t="shared" si="223"/>
        <v>0</v>
      </c>
      <c r="S446" s="37">
        <f t="shared" si="224"/>
        <v>0</v>
      </c>
      <c r="T446" s="37">
        <f t="shared" si="225"/>
        <v>0</v>
      </c>
      <c r="U446" s="37">
        <f t="shared" si="226"/>
        <v>0</v>
      </c>
      <c r="V446" s="37">
        <f t="shared" si="227"/>
        <v>0</v>
      </c>
      <c r="W446" s="37">
        <f t="shared" si="228"/>
        <v>0</v>
      </c>
      <c r="X446" s="37">
        <f t="shared" si="229"/>
        <v>0</v>
      </c>
      <c r="Y446" s="28"/>
      <c r="Z446" s="19">
        <f t="shared" si="230"/>
        <v>0</v>
      </c>
      <c r="AA446" s="19">
        <f t="shared" si="231"/>
        <v>0</v>
      </c>
      <c r="AB446" s="19">
        <f t="shared" si="232"/>
        <v>0</v>
      </c>
      <c r="AD446" s="37">
        <v>21</v>
      </c>
      <c r="AE446" s="37">
        <f>G446*0.0476762951701555</f>
        <v>0</v>
      </c>
      <c r="AF446" s="37">
        <f>G446*(1-0.0476762951701555)</f>
        <v>0</v>
      </c>
      <c r="AG446" s="33" t="s">
        <v>13</v>
      </c>
      <c r="AM446" s="37">
        <f t="shared" si="233"/>
        <v>0</v>
      </c>
      <c r="AN446" s="37">
        <f t="shared" si="234"/>
        <v>0</v>
      </c>
      <c r="AO446" s="38" t="s">
        <v>1218</v>
      </c>
      <c r="AP446" s="38" t="s">
        <v>1233</v>
      </c>
      <c r="AQ446" s="28" t="s">
        <v>1234</v>
      </c>
      <c r="AS446" s="37">
        <f t="shared" si="235"/>
        <v>0</v>
      </c>
      <c r="AT446" s="37">
        <f t="shared" si="236"/>
        <v>0</v>
      </c>
      <c r="AU446" s="37">
        <v>0</v>
      </c>
      <c r="AV446" s="37">
        <f t="shared" si="237"/>
        <v>0.0083545</v>
      </c>
    </row>
    <row r="447" ht="12.75">
      <c r="D447" s="16" t="s">
        <v>1130</v>
      </c>
    </row>
    <row r="448" spans="1:48" ht="12.75">
      <c r="A448" s="7" t="s">
        <v>366</v>
      </c>
      <c r="B448" s="7"/>
      <c r="C448" s="7" t="s">
        <v>723</v>
      </c>
      <c r="D448" s="7" t="s">
        <v>1127</v>
      </c>
      <c r="E448" s="7" t="s">
        <v>1151</v>
      </c>
      <c r="F448" s="20">
        <v>2.34715</v>
      </c>
      <c r="G448" s="20">
        <v>0</v>
      </c>
      <c r="H448" s="20">
        <f>F448*AE448</f>
        <v>0</v>
      </c>
      <c r="I448" s="20">
        <f>J448-H448</f>
        <v>0</v>
      </c>
      <c r="J448" s="20">
        <f>F448*G448</f>
        <v>0</v>
      </c>
      <c r="K448" s="20">
        <v>0.0122</v>
      </c>
      <c r="L448" s="20">
        <f>F448*K448</f>
        <v>0.02863523</v>
      </c>
      <c r="M448" s="34" t="s">
        <v>1177</v>
      </c>
      <c r="P448" s="37">
        <f>IF(AG448="5",J448,0)</f>
        <v>0</v>
      </c>
      <c r="R448" s="37">
        <f>IF(AG448="1",H448,0)</f>
        <v>0</v>
      </c>
      <c r="S448" s="37">
        <f>IF(AG448="1",I448,0)</f>
        <v>0</v>
      </c>
      <c r="T448" s="37">
        <f>IF(AG448="7",H448,0)</f>
        <v>0</v>
      </c>
      <c r="U448" s="37">
        <f>IF(AG448="7",I448,0)</f>
        <v>0</v>
      </c>
      <c r="V448" s="37">
        <f>IF(AG448="2",H448,0)</f>
        <v>0</v>
      </c>
      <c r="W448" s="37">
        <f>IF(AG448="2",I448,0)</f>
        <v>0</v>
      </c>
      <c r="X448" s="37">
        <f>IF(AG448="0",J448,0)</f>
        <v>0</v>
      </c>
      <c r="Y448" s="28"/>
      <c r="Z448" s="20">
        <f>IF(AD448=0,J448,0)</f>
        <v>0</v>
      </c>
      <c r="AA448" s="20">
        <f>IF(AD448=15,J448,0)</f>
        <v>0</v>
      </c>
      <c r="AB448" s="20">
        <f>IF(AD448=21,J448,0)</f>
        <v>0</v>
      </c>
      <c r="AD448" s="37">
        <v>21</v>
      </c>
      <c r="AE448" s="37">
        <f>G448*1</f>
        <v>0</v>
      </c>
      <c r="AF448" s="37">
        <f>G448*(1-1)</f>
        <v>0</v>
      </c>
      <c r="AG448" s="34" t="s">
        <v>13</v>
      </c>
      <c r="AM448" s="37">
        <f>F448*AE448</f>
        <v>0</v>
      </c>
      <c r="AN448" s="37">
        <f>F448*AF448</f>
        <v>0</v>
      </c>
      <c r="AO448" s="38" t="s">
        <v>1218</v>
      </c>
      <c r="AP448" s="38" t="s">
        <v>1233</v>
      </c>
      <c r="AQ448" s="28" t="s">
        <v>1234</v>
      </c>
      <c r="AS448" s="37">
        <f>AM448+AN448</f>
        <v>0</v>
      </c>
      <c r="AT448" s="37">
        <f>G448/(100-AU448)*100</f>
        <v>0</v>
      </c>
      <c r="AU448" s="37">
        <v>0</v>
      </c>
      <c r="AV448" s="37">
        <f>L448</f>
        <v>0.02863523</v>
      </c>
    </row>
    <row r="449" spans="1:48" ht="12.75">
      <c r="A449" s="5" t="s">
        <v>367</v>
      </c>
      <c r="B449" s="5"/>
      <c r="C449" s="5" t="s">
        <v>726</v>
      </c>
      <c r="D449" s="5" t="s">
        <v>1131</v>
      </c>
      <c r="E449" s="5" t="s">
        <v>1152</v>
      </c>
      <c r="F449" s="19">
        <v>0.6568</v>
      </c>
      <c r="G449" s="19">
        <v>0</v>
      </c>
      <c r="H449" s="19">
        <f>F449*AE449</f>
        <v>0</v>
      </c>
      <c r="I449" s="19">
        <f>J449-H449</f>
        <v>0</v>
      </c>
      <c r="J449" s="19">
        <f>F449*G449</f>
        <v>0</v>
      </c>
      <c r="K449" s="19">
        <v>0</v>
      </c>
      <c r="L449" s="19">
        <f>F449*K449</f>
        <v>0</v>
      </c>
      <c r="M449" s="33" t="s">
        <v>1177</v>
      </c>
      <c r="P449" s="37">
        <f>IF(AG449="5",J449,0)</f>
        <v>0</v>
      </c>
      <c r="R449" s="37">
        <f>IF(AG449="1",H449,0)</f>
        <v>0</v>
      </c>
      <c r="S449" s="37">
        <f>IF(AG449="1",I449,0)</f>
        <v>0</v>
      </c>
      <c r="T449" s="37">
        <f>IF(AG449="7",H449,0)</f>
        <v>0</v>
      </c>
      <c r="U449" s="37">
        <f>IF(AG449="7",I449,0)</f>
        <v>0</v>
      </c>
      <c r="V449" s="37">
        <f>IF(AG449="2",H449,0)</f>
        <v>0</v>
      </c>
      <c r="W449" s="37">
        <f>IF(AG449="2",I449,0)</f>
        <v>0</v>
      </c>
      <c r="X449" s="37">
        <f>IF(AG449="0",J449,0)</f>
        <v>0</v>
      </c>
      <c r="Y449" s="28"/>
      <c r="Z449" s="19">
        <f>IF(AD449=0,J449,0)</f>
        <v>0</v>
      </c>
      <c r="AA449" s="19">
        <f>IF(AD449=15,J449,0)</f>
        <v>0</v>
      </c>
      <c r="AB449" s="19">
        <f>IF(AD449=21,J449,0)</f>
        <v>0</v>
      </c>
      <c r="AD449" s="37">
        <v>21</v>
      </c>
      <c r="AE449" s="37">
        <f>G449*0</f>
        <v>0</v>
      </c>
      <c r="AF449" s="37">
        <f>G449*(1-0)</f>
        <v>0</v>
      </c>
      <c r="AG449" s="33" t="s">
        <v>11</v>
      </c>
      <c r="AM449" s="37">
        <f>F449*AE449</f>
        <v>0</v>
      </c>
      <c r="AN449" s="37">
        <f>F449*AF449</f>
        <v>0</v>
      </c>
      <c r="AO449" s="38" t="s">
        <v>1218</v>
      </c>
      <c r="AP449" s="38" t="s">
        <v>1233</v>
      </c>
      <c r="AQ449" s="28" t="s">
        <v>1234</v>
      </c>
      <c r="AS449" s="37">
        <f>AM449+AN449</f>
        <v>0</v>
      </c>
      <c r="AT449" s="37">
        <f>G449/(100-AU449)*100</f>
        <v>0</v>
      </c>
      <c r="AU449" s="37">
        <v>0</v>
      </c>
      <c r="AV449" s="37">
        <f>L449</f>
        <v>0</v>
      </c>
    </row>
    <row r="450" spans="1:37" ht="12.75">
      <c r="A450" s="6"/>
      <c r="B450" s="14"/>
      <c r="C450" s="14" t="s">
        <v>727</v>
      </c>
      <c r="D450" s="14" t="s">
        <v>1132</v>
      </c>
      <c r="E450" s="6" t="s">
        <v>6</v>
      </c>
      <c r="F450" s="6" t="s">
        <v>6</v>
      </c>
      <c r="G450" s="6" t="s">
        <v>6</v>
      </c>
      <c r="H450" s="40">
        <f>SUM(H451:H452)</f>
        <v>0</v>
      </c>
      <c r="I450" s="40">
        <f>SUM(I451:I452)</f>
        <v>0</v>
      </c>
      <c r="J450" s="40">
        <f>H450+I450</f>
        <v>0</v>
      </c>
      <c r="K450" s="28"/>
      <c r="L450" s="40">
        <f>SUM(L451:L452)</f>
        <v>0.27105095999999995</v>
      </c>
      <c r="M450" s="28"/>
      <c r="Y450" s="28"/>
      <c r="AI450" s="40">
        <f>SUM(Z451:Z452)</f>
        <v>0</v>
      </c>
      <c r="AJ450" s="40">
        <f>SUM(AA451:AA452)</f>
        <v>0</v>
      </c>
      <c r="AK450" s="40">
        <f>SUM(AB451:AB452)</f>
        <v>0</v>
      </c>
    </row>
    <row r="451" spans="1:48" ht="12.75">
      <c r="A451" s="5" t="s">
        <v>368</v>
      </c>
      <c r="B451" s="5"/>
      <c r="C451" s="5" t="s">
        <v>728</v>
      </c>
      <c r="D451" s="5" t="s">
        <v>1133</v>
      </c>
      <c r="E451" s="5" t="s">
        <v>1151</v>
      </c>
      <c r="F451" s="19">
        <v>357.256</v>
      </c>
      <c r="G451" s="19">
        <v>0</v>
      </c>
      <c r="H451" s="19">
        <f>F451*AE451</f>
        <v>0</v>
      </c>
      <c r="I451" s="19">
        <f>J451-H451</f>
        <v>0</v>
      </c>
      <c r="J451" s="19">
        <f>F451*G451</f>
        <v>0</v>
      </c>
      <c r="K451" s="19">
        <v>0.00049</v>
      </c>
      <c r="L451" s="19">
        <f>F451*K451</f>
        <v>0.17505543999999998</v>
      </c>
      <c r="M451" s="33" t="s">
        <v>1177</v>
      </c>
      <c r="P451" s="37">
        <f>IF(AG451="5",J451,0)</f>
        <v>0</v>
      </c>
      <c r="R451" s="37">
        <f>IF(AG451="1",H451,0)</f>
        <v>0</v>
      </c>
      <c r="S451" s="37">
        <f>IF(AG451="1",I451,0)</f>
        <v>0</v>
      </c>
      <c r="T451" s="37">
        <f>IF(AG451="7",H451,0)</f>
        <v>0</v>
      </c>
      <c r="U451" s="37">
        <f>IF(AG451="7",I451,0)</f>
        <v>0</v>
      </c>
      <c r="V451" s="37">
        <f>IF(AG451="2",H451,0)</f>
        <v>0</v>
      </c>
      <c r="W451" s="37">
        <f>IF(AG451="2",I451,0)</f>
        <v>0</v>
      </c>
      <c r="X451" s="37">
        <f>IF(AG451="0",J451,0)</f>
        <v>0</v>
      </c>
      <c r="Y451" s="28"/>
      <c r="Z451" s="19">
        <f>IF(AD451=0,J451,0)</f>
        <v>0</v>
      </c>
      <c r="AA451" s="19">
        <f>IF(AD451=15,J451,0)</f>
        <v>0</v>
      </c>
      <c r="AB451" s="19">
        <f>IF(AD451=21,J451,0)</f>
        <v>0</v>
      </c>
      <c r="AD451" s="37">
        <v>21</v>
      </c>
      <c r="AE451" s="37">
        <f>G451*0.591782997099771</f>
        <v>0</v>
      </c>
      <c r="AF451" s="37">
        <f>G451*(1-0.591782997099771)</f>
        <v>0</v>
      </c>
      <c r="AG451" s="33" t="s">
        <v>13</v>
      </c>
      <c r="AM451" s="37">
        <f>F451*AE451</f>
        <v>0</v>
      </c>
      <c r="AN451" s="37">
        <f>F451*AF451</f>
        <v>0</v>
      </c>
      <c r="AO451" s="38" t="s">
        <v>1219</v>
      </c>
      <c r="AP451" s="38" t="s">
        <v>1233</v>
      </c>
      <c r="AQ451" s="28" t="s">
        <v>1234</v>
      </c>
      <c r="AS451" s="37">
        <f>AM451+AN451</f>
        <v>0</v>
      </c>
      <c r="AT451" s="37">
        <f>G451/(100-AU451)*100</f>
        <v>0</v>
      </c>
      <c r="AU451" s="37">
        <v>0</v>
      </c>
      <c r="AV451" s="37">
        <f>L451</f>
        <v>0.17505543999999998</v>
      </c>
    </row>
    <row r="452" spans="1:48" ht="12.75">
      <c r="A452" s="5" t="s">
        <v>369</v>
      </c>
      <c r="B452" s="5"/>
      <c r="C452" s="5" t="s">
        <v>729</v>
      </c>
      <c r="D452" s="5" t="s">
        <v>1134</v>
      </c>
      <c r="E452" s="5" t="s">
        <v>1151</v>
      </c>
      <c r="F452" s="19">
        <v>599.972</v>
      </c>
      <c r="G452" s="19">
        <v>0</v>
      </c>
      <c r="H452" s="19">
        <f>F452*AE452</f>
        <v>0</v>
      </c>
      <c r="I452" s="19">
        <f>J452-H452</f>
        <v>0</v>
      </c>
      <c r="J452" s="19">
        <f>F452*G452</f>
        <v>0</v>
      </c>
      <c r="K452" s="19">
        <v>0.00016</v>
      </c>
      <c r="L452" s="19">
        <f>F452*K452</f>
        <v>0.09599552</v>
      </c>
      <c r="M452" s="33" t="s">
        <v>1177</v>
      </c>
      <c r="P452" s="37">
        <f>IF(AG452="5",J452,0)</f>
        <v>0</v>
      </c>
      <c r="R452" s="37">
        <f>IF(AG452="1",H452,0)</f>
        <v>0</v>
      </c>
      <c r="S452" s="37">
        <f>IF(AG452="1",I452,0)</f>
        <v>0</v>
      </c>
      <c r="T452" s="37">
        <f>IF(AG452="7",H452,0)</f>
        <v>0</v>
      </c>
      <c r="U452" s="37">
        <f>IF(AG452="7",I452,0)</f>
        <v>0</v>
      </c>
      <c r="V452" s="37">
        <f>IF(AG452="2",H452,0)</f>
        <v>0</v>
      </c>
      <c r="W452" s="37">
        <f>IF(AG452="2",I452,0)</f>
        <v>0</v>
      </c>
      <c r="X452" s="37">
        <f>IF(AG452="0",J452,0)</f>
        <v>0</v>
      </c>
      <c r="Y452" s="28"/>
      <c r="Z452" s="19">
        <f>IF(AD452=0,J452,0)</f>
        <v>0</v>
      </c>
      <c r="AA452" s="19">
        <f>IF(AD452=15,J452,0)</f>
        <v>0</v>
      </c>
      <c r="AB452" s="19">
        <f>IF(AD452=21,J452,0)</f>
        <v>0</v>
      </c>
      <c r="AD452" s="37">
        <v>21</v>
      </c>
      <c r="AE452" s="37">
        <f>G452*0.142909090909091</f>
        <v>0</v>
      </c>
      <c r="AF452" s="37">
        <f>G452*(1-0.142909090909091)</f>
        <v>0</v>
      </c>
      <c r="AG452" s="33" t="s">
        <v>13</v>
      </c>
      <c r="AM452" s="37">
        <f>F452*AE452</f>
        <v>0</v>
      </c>
      <c r="AN452" s="37">
        <f>F452*AF452</f>
        <v>0</v>
      </c>
      <c r="AO452" s="38" t="s">
        <v>1219</v>
      </c>
      <c r="AP452" s="38" t="s">
        <v>1233</v>
      </c>
      <c r="AQ452" s="28" t="s">
        <v>1234</v>
      </c>
      <c r="AS452" s="37">
        <f>AM452+AN452</f>
        <v>0</v>
      </c>
      <c r="AT452" s="37">
        <f>G452/(100-AU452)*100</f>
        <v>0</v>
      </c>
      <c r="AU452" s="37">
        <v>0</v>
      </c>
      <c r="AV452" s="37">
        <f>L452</f>
        <v>0.09599552</v>
      </c>
    </row>
    <row r="453" spans="1:37" ht="12.75">
      <c r="A453" s="6"/>
      <c r="B453" s="14"/>
      <c r="C453" s="14" t="s">
        <v>730</v>
      </c>
      <c r="D453" s="14" t="s">
        <v>1135</v>
      </c>
      <c r="E453" s="6" t="s">
        <v>6</v>
      </c>
      <c r="F453" s="6" t="s">
        <v>6</v>
      </c>
      <c r="G453" s="6" t="s">
        <v>6</v>
      </c>
      <c r="H453" s="40">
        <f>SUM(H454:H458)</f>
        <v>0</v>
      </c>
      <c r="I453" s="40">
        <f>SUM(I454:I458)</f>
        <v>0</v>
      </c>
      <c r="J453" s="40">
        <f>H453+I453</f>
        <v>0</v>
      </c>
      <c r="K453" s="28"/>
      <c r="L453" s="40">
        <f>SUM(L454:L458)</f>
        <v>0.04926548</v>
      </c>
      <c r="M453" s="28"/>
      <c r="Y453" s="28"/>
      <c r="AI453" s="40">
        <f>SUM(Z454:Z458)</f>
        <v>0</v>
      </c>
      <c r="AJ453" s="40">
        <f>SUM(AA454:AA458)</f>
        <v>0</v>
      </c>
      <c r="AK453" s="40">
        <f>SUM(AB454:AB458)</f>
        <v>0</v>
      </c>
    </row>
    <row r="454" spans="1:48" ht="12.75">
      <c r="A454" s="5" t="s">
        <v>370</v>
      </c>
      <c r="B454" s="5"/>
      <c r="C454" s="5" t="s">
        <v>731</v>
      </c>
      <c r="D454" s="5" t="s">
        <v>1136</v>
      </c>
      <c r="E454" s="5" t="s">
        <v>1151</v>
      </c>
      <c r="F454" s="19">
        <v>81.259</v>
      </c>
      <c r="G454" s="19">
        <v>0</v>
      </c>
      <c r="H454" s="19">
        <f>F454*AE454</f>
        <v>0</v>
      </c>
      <c r="I454" s="19">
        <f>J454-H454</f>
        <v>0</v>
      </c>
      <c r="J454" s="19">
        <f>F454*G454</f>
        <v>0</v>
      </c>
      <c r="K454" s="19">
        <v>0.0002</v>
      </c>
      <c r="L454" s="19">
        <f>F454*K454</f>
        <v>0.0162518</v>
      </c>
      <c r="M454" s="33" t="s">
        <v>1177</v>
      </c>
      <c r="P454" s="37">
        <f>IF(AG454="5",J454,0)</f>
        <v>0</v>
      </c>
      <c r="R454" s="37">
        <f>IF(AG454="1",H454,0)</f>
        <v>0</v>
      </c>
      <c r="S454" s="37">
        <f>IF(AG454="1",I454,0)</f>
        <v>0</v>
      </c>
      <c r="T454" s="37">
        <f>IF(AG454="7",H454,0)</f>
        <v>0</v>
      </c>
      <c r="U454" s="37">
        <f>IF(AG454="7",I454,0)</f>
        <v>0</v>
      </c>
      <c r="V454" s="37">
        <f>IF(AG454="2",H454,0)</f>
        <v>0</v>
      </c>
      <c r="W454" s="37">
        <f>IF(AG454="2",I454,0)</f>
        <v>0</v>
      </c>
      <c r="X454" s="37">
        <f>IF(AG454="0",J454,0)</f>
        <v>0</v>
      </c>
      <c r="Y454" s="28"/>
      <c r="Z454" s="19">
        <f>IF(AD454=0,J454,0)</f>
        <v>0</v>
      </c>
      <c r="AA454" s="19">
        <f>IF(AD454=15,J454,0)</f>
        <v>0</v>
      </c>
      <c r="AB454" s="19">
        <f>IF(AD454=21,J454,0)</f>
        <v>0</v>
      </c>
      <c r="AD454" s="37">
        <v>21</v>
      </c>
      <c r="AE454" s="37">
        <f>G454*0.429729682086532</f>
        <v>0</v>
      </c>
      <c r="AF454" s="37">
        <f>G454*(1-0.429729682086532)</f>
        <v>0</v>
      </c>
      <c r="AG454" s="33" t="s">
        <v>13</v>
      </c>
      <c r="AM454" s="37">
        <f>F454*AE454</f>
        <v>0</v>
      </c>
      <c r="AN454" s="37">
        <f>F454*AF454</f>
        <v>0</v>
      </c>
      <c r="AO454" s="38" t="s">
        <v>1220</v>
      </c>
      <c r="AP454" s="38" t="s">
        <v>1233</v>
      </c>
      <c r="AQ454" s="28" t="s">
        <v>1234</v>
      </c>
      <c r="AS454" s="37">
        <f>AM454+AN454</f>
        <v>0</v>
      </c>
      <c r="AT454" s="37">
        <f>G454/(100-AU454)*100</f>
        <v>0</v>
      </c>
      <c r="AU454" s="37">
        <v>0</v>
      </c>
      <c r="AV454" s="37">
        <f>L454</f>
        <v>0.0162518</v>
      </c>
    </row>
    <row r="455" spans="1:48" ht="12.75">
      <c r="A455" s="5" t="s">
        <v>371</v>
      </c>
      <c r="B455" s="5"/>
      <c r="C455" s="5" t="s">
        <v>732</v>
      </c>
      <c r="D455" s="5" t="s">
        <v>1137</v>
      </c>
      <c r="E455" s="5" t="s">
        <v>1151</v>
      </c>
      <c r="F455" s="19">
        <v>40.91</v>
      </c>
      <c r="G455" s="19">
        <v>0</v>
      </c>
      <c r="H455" s="19">
        <f>F455*AE455</f>
        <v>0</v>
      </c>
      <c r="I455" s="19">
        <f>J455-H455</f>
        <v>0</v>
      </c>
      <c r="J455" s="19">
        <f>F455*G455</f>
        <v>0</v>
      </c>
      <c r="K455" s="19">
        <v>5E-05</v>
      </c>
      <c r="L455" s="19">
        <f>F455*K455</f>
        <v>0.0020455</v>
      </c>
      <c r="M455" s="33" t="s">
        <v>1177</v>
      </c>
      <c r="P455" s="37">
        <f>IF(AG455="5",J455,0)</f>
        <v>0</v>
      </c>
      <c r="R455" s="37">
        <f>IF(AG455="1",H455,0)</f>
        <v>0</v>
      </c>
      <c r="S455" s="37">
        <f>IF(AG455="1",I455,0)</f>
        <v>0</v>
      </c>
      <c r="T455" s="37">
        <f>IF(AG455="7",H455,0)</f>
        <v>0</v>
      </c>
      <c r="U455" s="37">
        <f>IF(AG455="7",I455,0)</f>
        <v>0</v>
      </c>
      <c r="V455" s="37">
        <f>IF(AG455="2",H455,0)</f>
        <v>0</v>
      </c>
      <c r="W455" s="37">
        <f>IF(AG455="2",I455,0)</f>
        <v>0</v>
      </c>
      <c r="X455" s="37">
        <f>IF(AG455="0",J455,0)</f>
        <v>0</v>
      </c>
      <c r="Y455" s="28"/>
      <c r="Z455" s="19">
        <f>IF(AD455=0,J455,0)</f>
        <v>0</v>
      </c>
      <c r="AA455" s="19">
        <f>IF(AD455=15,J455,0)</f>
        <v>0</v>
      </c>
      <c r="AB455" s="19">
        <f>IF(AD455=21,J455,0)</f>
        <v>0</v>
      </c>
      <c r="AD455" s="37">
        <v>21</v>
      </c>
      <c r="AE455" s="37">
        <f>G455*0.166447903767911</f>
        <v>0</v>
      </c>
      <c r="AF455" s="37">
        <f>G455*(1-0.166447903767911)</f>
        <v>0</v>
      </c>
      <c r="AG455" s="33" t="s">
        <v>13</v>
      </c>
      <c r="AM455" s="37">
        <f>F455*AE455</f>
        <v>0</v>
      </c>
      <c r="AN455" s="37">
        <f>F455*AF455</f>
        <v>0</v>
      </c>
      <c r="AO455" s="38" t="s">
        <v>1220</v>
      </c>
      <c r="AP455" s="38" t="s">
        <v>1233</v>
      </c>
      <c r="AQ455" s="28" t="s">
        <v>1234</v>
      </c>
      <c r="AS455" s="37">
        <f>AM455+AN455</f>
        <v>0</v>
      </c>
      <c r="AT455" s="37">
        <f>G455/(100-AU455)*100</f>
        <v>0</v>
      </c>
      <c r="AU455" s="37">
        <v>0</v>
      </c>
      <c r="AV455" s="37">
        <f>L455</f>
        <v>0.0020455</v>
      </c>
    </row>
    <row r="456" ht="12.75">
      <c r="D456" s="16" t="s">
        <v>1138</v>
      </c>
    </row>
    <row r="457" spans="1:48" ht="12.75">
      <c r="A457" s="5" t="s">
        <v>372</v>
      </c>
      <c r="B457" s="5"/>
      <c r="C457" s="5" t="s">
        <v>733</v>
      </c>
      <c r="D457" s="5" t="s">
        <v>1391</v>
      </c>
      <c r="E457" s="5" t="s">
        <v>1151</v>
      </c>
      <c r="F457" s="19">
        <v>81.259</v>
      </c>
      <c r="G457" s="19">
        <v>0</v>
      </c>
      <c r="H457" s="19">
        <f>F457*AE457</f>
        <v>0</v>
      </c>
      <c r="I457" s="19">
        <f>J457-H457</f>
        <v>0</v>
      </c>
      <c r="J457" s="19">
        <f>F457*G457</f>
        <v>0</v>
      </c>
      <c r="K457" s="19">
        <v>0.00022</v>
      </c>
      <c r="L457" s="19">
        <f>F457*K457</f>
        <v>0.01787698</v>
      </c>
      <c r="M457" s="33" t="s">
        <v>1177</v>
      </c>
      <c r="P457" s="37">
        <f>IF(AG457="5",J457,0)</f>
        <v>0</v>
      </c>
      <c r="R457" s="37">
        <f>IF(AG457="1",H457,0)</f>
        <v>0</v>
      </c>
      <c r="S457" s="37">
        <f>IF(AG457="1",I457,0)</f>
        <v>0</v>
      </c>
      <c r="T457" s="37">
        <f>IF(AG457="7",H457,0)</f>
        <v>0</v>
      </c>
      <c r="U457" s="37">
        <f>IF(AG457="7",I457,0)</f>
        <v>0</v>
      </c>
      <c r="V457" s="37">
        <f>IF(AG457="2",H457,0)</f>
        <v>0</v>
      </c>
      <c r="W457" s="37">
        <f>IF(AG457="2",I457,0)</f>
        <v>0</v>
      </c>
      <c r="X457" s="37">
        <f>IF(AG457="0",J457,0)</f>
        <v>0</v>
      </c>
      <c r="Y457" s="28"/>
      <c r="Z457" s="19">
        <f>IF(AD457=0,J457,0)</f>
        <v>0</v>
      </c>
      <c r="AA457" s="19">
        <f>IF(AD457=15,J457,0)</f>
        <v>0</v>
      </c>
      <c r="AB457" s="19">
        <f>IF(AD457=21,J457,0)</f>
        <v>0</v>
      </c>
      <c r="AD457" s="37">
        <v>21</v>
      </c>
      <c r="AE457" s="37">
        <f>G457*0.158474774600956</f>
        <v>0</v>
      </c>
      <c r="AF457" s="37">
        <f>G457*(1-0.158474774600956)</f>
        <v>0</v>
      </c>
      <c r="AG457" s="33" t="s">
        <v>13</v>
      </c>
      <c r="AM457" s="37">
        <f>F457*AE457</f>
        <v>0</v>
      </c>
      <c r="AN457" s="37">
        <f>F457*AF457</f>
        <v>0</v>
      </c>
      <c r="AO457" s="38" t="s">
        <v>1220</v>
      </c>
      <c r="AP457" s="38" t="s">
        <v>1233</v>
      </c>
      <c r="AQ457" s="28" t="s">
        <v>1234</v>
      </c>
      <c r="AS457" s="37">
        <f>AM457+AN457</f>
        <v>0</v>
      </c>
      <c r="AT457" s="37">
        <f>G457/(100-AU457)*100</f>
        <v>0</v>
      </c>
      <c r="AU457" s="37">
        <v>0</v>
      </c>
      <c r="AV457" s="37">
        <f>L457</f>
        <v>0.01787698</v>
      </c>
    </row>
    <row r="458" spans="1:48" ht="12.75">
      <c r="A458" s="5" t="s">
        <v>373</v>
      </c>
      <c r="B458" s="5"/>
      <c r="C458" s="5" t="s">
        <v>734</v>
      </c>
      <c r="D458" s="5" t="s">
        <v>1392</v>
      </c>
      <c r="E458" s="5" t="s">
        <v>1151</v>
      </c>
      <c r="F458" s="19">
        <v>40.91</v>
      </c>
      <c r="G458" s="19">
        <v>0</v>
      </c>
      <c r="H458" s="19">
        <f>F458*AE458</f>
        <v>0</v>
      </c>
      <c r="I458" s="19">
        <f>J458-H458</f>
        <v>0</v>
      </c>
      <c r="J458" s="19">
        <f>F458*G458</f>
        <v>0</v>
      </c>
      <c r="K458" s="19">
        <v>0.00032</v>
      </c>
      <c r="L458" s="19">
        <f>F458*K458</f>
        <v>0.0130912</v>
      </c>
      <c r="M458" s="33" t="s">
        <v>1177</v>
      </c>
      <c r="P458" s="37">
        <f>IF(AG458="5",J458,0)</f>
        <v>0</v>
      </c>
      <c r="R458" s="37">
        <f>IF(AG458="1",H458,0)</f>
        <v>0</v>
      </c>
      <c r="S458" s="37">
        <f>IF(AG458="1",I458,0)</f>
        <v>0</v>
      </c>
      <c r="T458" s="37">
        <f>IF(AG458="7",H458,0)</f>
        <v>0</v>
      </c>
      <c r="U458" s="37">
        <f>IF(AG458="7",I458,0)</f>
        <v>0</v>
      </c>
      <c r="V458" s="37">
        <f>IF(AG458="2",H458,0)</f>
        <v>0</v>
      </c>
      <c r="W458" s="37">
        <f>IF(AG458="2",I458,0)</f>
        <v>0</v>
      </c>
      <c r="X458" s="37">
        <f>IF(AG458="0",J458,0)</f>
        <v>0</v>
      </c>
      <c r="Y458" s="28"/>
      <c r="Z458" s="19">
        <f>IF(AD458=0,J458,0)</f>
        <v>0</v>
      </c>
      <c r="AA458" s="19">
        <f>IF(AD458=15,J458,0)</f>
        <v>0</v>
      </c>
      <c r="AB458" s="19">
        <f>IF(AD458=21,J458,0)</f>
        <v>0</v>
      </c>
      <c r="AD458" s="37">
        <v>21</v>
      </c>
      <c r="AE458" s="37">
        <f>G458*0.28543115273015</f>
        <v>0</v>
      </c>
      <c r="AF458" s="37">
        <f>G458*(1-0.28543115273015)</f>
        <v>0</v>
      </c>
      <c r="AG458" s="33" t="s">
        <v>13</v>
      </c>
      <c r="AM458" s="37">
        <f>F458*AE458</f>
        <v>0</v>
      </c>
      <c r="AN458" s="37">
        <f>F458*AF458</f>
        <v>0</v>
      </c>
      <c r="AO458" s="38" t="s">
        <v>1220</v>
      </c>
      <c r="AP458" s="38" t="s">
        <v>1233</v>
      </c>
      <c r="AQ458" s="28" t="s">
        <v>1234</v>
      </c>
      <c r="AS458" s="37">
        <f>AM458+AN458</f>
        <v>0</v>
      </c>
      <c r="AT458" s="37">
        <f>G458/(100-AU458)*100</f>
        <v>0</v>
      </c>
      <c r="AU458" s="37">
        <v>0</v>
      </c>
      <c r="AV458" s="37">
        <f>L458</f>
        <v>0.0130912</v>
      </c>
    </row>
    <row r="459" ht="12.75">
      <c r="D459" s="16" t="s">
        <v>1138</v>
      </c>
    </row>
    <row r="460" spans="1:37" ht="12.75">
      <c r="A460" s="6"/>
      <c r="B460" s="14"/>
      <c r="C460" s="14" t="s">
        <v>735</v>
      </c>
      <c r="D460" s="14" t="s">
        <v>1141</v>
      </c>
      <c r="E460" s="6" t="s">
        <v>6</v>
      </c>
      <c r="F460" s="6" t="s">
        <v>6</v>
      </c>
      <c r="G460" s="6" t="s">
        <v>6</v>
      </c>
      <c r="H460" s="40">
        <f>SUM(H461:H463)</f>
        <v>0</v>
      </c>
      <c r="I460" s="40">
        <f>SUM(I461:I463)</f>
        <v>0</v>
      </c>
      <c r="J460" s="40">
        <f>H460+I460</f>
        <v>0</v>
      </c>
      <c r="K460" s="28"/>
      <c r="L460" s="40">
        <f>SUM(L461:L463)</f>
        <v>0</v>
      </c>
      <c r="M460" s="28"/>
      <c r="Y460" s="28"/>
      <c r="AI460" s="40">
        <f>SUM(Z461:Z463)</f>
        <v>0</v>
      </c>
      <c r="AJ460" s="40">
        <f>SUM(AA461:AA463)</f>
        <v>0</v>
      </c>
      <c r="AK460" s="40">
        <f>SUM(AB461:AB463)</f>
        <v>0</v>
      </c>
    </row>
    <row r="461" spans="1:48" ht="12.75">
      <c r="A461" s="5" t="s">
        <v>374</v>
      </c>
      <c r="B461" s="5"/>
      <c r="C461" s="5" t="s">
        <v>736</v>
      </c>
      <c r="D461" s="5" t="s">
        <v>1142</v>
      </c>
      <c r="E461" s="5" t="s">
        <v>1153</v>
      </c>
      <c r="F461" s="19">
        <v>1</v>
      </c>
      <c r="G461" s="19">
        <v>0</v>
      </c>
      <c r="H461" s="19">
        <f>F461*AE461</f>
        <v>0</v>
      </c>
      <c r="I461" s="19">
        <f>J461-H461</f>
        <v>0</v>
      </c>
      <c r="J461" s="19">
        <f>F461*G461</f>
        <v>0</v>
      </c>
      <c r="K461" s="19">
        <v>0</v>
      </c>
      <c r="L461" s="19">
        <f>F461*K461</f>
        <v>0</v>
      </c>
      <c r="M461" s="33" t="s">
        <v>1177</v>
      </c>
      <c r="P461" s="37">
        <f>IF(AG461="5",J461,0)</f>
        <v>0</v>
      </c>
      <c r="R461" s="37">
        <f>IF(AG461="1",H461,0)</f>
        <v>0</v>
      </c>
      <c r="S461" s="37">
        <f>IF(AG461="1",I461,0)</f>
        <v>0</v>
      </c>
      <c r="T461" s="37">
        <f>IF(AG461="7",H461,0)</f>
        <v>0</v>
      </c>
      <c r="U461" s="37">
        <f>IF(AG461="7",I461,0)</f>
        <v>0</v>
      </c>
      <c r="V461" s="37">
        <f>IF(AG461="2",H461,0)</f>
        <v>0</v>
      </c>
      <c r="W461" s="37">
        <f>IF(AG461="2",I461,0)</f>
        <v>0</v>
      </c>
      <c r="X461" s="37">
        <f>IF(AG461="0",J461,0)</f>
        <v>0</v>
      </c>
      <c r="Y461" s="28"/>
      <c r="Z461" s="19">
        <f>IF(AD461=0,J461,0)</f>
        <v>0</v>
      </c>
      <c r="AA461" s="19">
        <f>IF(AD461=15,J461,0)</f>
        <v>0</v>
      </c>
      <c r="AB461" s="19">
        <f>IF(AD461=21,J461,0)</f>
        <v>0</v>
      </c>
      <c r="AD461" s="37">
        <v>21</v>
      </c>
      <c r="AE461" s="37">
        <f>G461*0</f>
        <v>0</v>
      </c>
      <c r="AF461" s="37">
        <f>G461*(1-0)</f>
        <v>0</v>
      </c>
      <c r="AG461" s="33" t="s">
        <v>7</v>
      </c>
      <c r="AM461" s="37">
        <f>F461*AE461</f>
        <v>0</v>
      </c>
      <c r="AN461" s="37">
        <f>F461*AF461</f>
        <v>0</v>
      </c>
      <c r="AO461" s="38" t="s">
        <v>1221</v>
      </c>
      <c r="AP461" s="38" t="s">
        <v>1221</v>
      </c>
      <c r="AQ461" s="28" t="s">
        <v>1234</v>
      </c>
      <c r="AS461" s="37">
        <f>AM461+AN461</f>
        <v>0</v>
      </c>
      <c r="AT461" s="37">
        <f>G461/(100-AU461)*100</f>
        <v>0</v>
      </c>
      <c r="AU461" s="37">
        <v>0</v>
      </c>
      <c r="AV461" s="37">
        <f>L461</f>
        <v>0</v>
      </c>
    </row>
    <row r="462" spans="1:48" ht="12.75">
      <c r="A462" s="5" t="s">
        <v>375</v>
      </c>
      <c r="B462" s="5"/>
      <c r="C462" s="5" t="s">
        <v>737</v>
      </c>
      <c r="D462" s="5" t="s">
        <v>1143</v>
      </c>
      <c r="E462" s="5" t="s">
        <v>1153</v>
      </c>
      <c r="F462" s="19">
        <v>1</v>
      </c>
      <c r="G462" s="19">
        <v>0</v>
      </c>
      <c r="H462" s="19">
        <f>F462*AE462</f>
        <v>0</v>
      </c>
      <c r="I462" s="19">
        <f>J462-H462</f>
        <v>0</v>
      </c>
      <c r="J462" s="19">
        <f>F462*G462</f>
        <v>0</v>
      </c>
      <c r="K462" s="19">
        <v>0</v>
      </c>
      <c r="L462" s="19">
        <f>F462*K462</f>
        <v>0</v>
      </c>
      <c r="M462" s="33" t="s">
        <v>1177</v>
      </c>
      <c r="P462" s="37">
        <f>IF(AG462="5",J462,0)</f>
        <v>0</v>
      </c>
      <c r="R462" s="37">
        <f>IF(AG462="1",H462,0)</f>
        <v>0</v>
      </c>
      <c r="S462" s="37">
        <f>IF(AG462="1",I462,0)</f>
        <v>0</v>
      </c>
      <c r="T462" s="37">
        <f>IF(AG462="7",H462,0)</f>
        <v>0</v>
      </c>
      <c r="U462" s="37">
        <f>IF(AG462="7",I462,0)</f>
        <v>0</v>
      </c>
      <c r="V462" s="37">
        <f>IF(AG462="2",H462,0)</f>
        <v>0</v>
      </c>
      <c r="W462" s="37">
        <f>IF(AG462="2",I462,0)</f>
        <v>0</v>
      </c>
      <c r="X462" s="37">
        <f>IF(AG462="0",J462,0)</f>
        <v>0</v>
      </c>
      <c r="Y462" s="28"/>
      <c r="Z462" s="19">
        <f>IF(AD462=0,J462,0)</f>
        <v>0</v>
      </c>
      <c r="AA462" s="19">
        <f>IF(AD462=15,J462,0)</f>
        <v>0</v>
      </c>
      <c r="AB462" s="19">
        <f>IF(AD462=21,J462,0)</f>
        <v>0</v>
      </c>
      <c r="AD462" s="37">
        <v>21</v>
      </c>
      <c r="AE462" s="37">
        <f>G462*0</f>
        <v>0</v>
      </c>
      <c r="AF462" s="37">
        <f>G462*(1-0)</f>
        <v>0</v>
      </c>
      <c r="AG462" s="33" t="s">
        <v>7</v>
      </c>
      <c r="AM462" s="37">
        <f>F462*AE462</f>
        <v>0</v>
      </c>
      <c r="AN462" s="37">
        <f>F462*AF462</f>
        <v>0</v>
      </c>
      <c r="AO462" s="38" t="s">
        <v>1221</v>
      </c>
      <c r="AP462" s="38" t="s">
        <v>1221</v>
      </c>
      <c r="AQ462" s="28" t="s">
        <v>1234</v>
      </c>
      <c r="AS462" s="37">
        <f>AM462+AN462</f>
        <v>0</v>
      </c>
      <c r="AT462" s="37">
        <f>G462/(100-AU462)*100</f>
        <v>0</v>
      </c>
      <c r="AU462" s="37">
        <v>0</v>
      </c>
      <c r="AV462" s="37">
        <f>L462</f>
        <v>0</v>
      </c>
    </row>
    <row r="463" spans="1:48" ht="12.75">
      <c r="A463" s="8" t="s">
        <v>376</v>
      </c>
      <c r="B463" s="8"/>
      <c r="C463" s="8" t="s">
        <v>738</v>
      </c>
      <c r="D463" s="8" t="s">
        <v>1144</v>
      </c>
      <c r="E463" s="8" t="s">
        <v>1153</v>
      </c>
      <c r="F463" s="21">
        <v>1</v>
      </c>
      <c r="G463" s="21">
        <v>0</v>
      </c>
      <c r="H463" s="21">
        <f>F463*AE463</f>
        <v>0</v>
      </c>
      <c r="I463" s="21">
        <f>J463-H463</f>
        <v>0</v>
      </c>
      <c r="J463" s="21">
        <f>F463*G463</f>
        <v>0</v>
      </c>
      <c r="K463" s="21">
        <v>0</v>
      </c>
      <c r="L463" s="21">
        <f>F463*K463</f>
        <v>0</v>
      </c>
      <c r="M463" s="35" t="s">
        <v>1177</v>
      </c>
      <c r="P463" s="37">
        <f>IF(AG463="5",J463,0)</f>
        <v>0</v>
      </c>
      <c r="R463" s="37">
        <f>IF(AG463="1",H463,0)</f>
        <v>0</v>
      </c>
      <c r="S463" s="37">
        <f>IF(AG463="1",I463,0)</f>
        <v>0</v>
      </c>
      <c r="T463" s="37">
        <f>IF(AG463="7",H463,0)</f>
        <v>0</v>
      </c>
      <c r="U463" s="37">
        <f>IF(AG463="7",I463,0)</f>
        <v>0</v>
      </c>
      <c r="V463" s="37">
        <f>IF(AG463="2",H463,0)</f>
        <v>0</v>
      </c>
      <c r="W463" s="37">
        <f>IF(AG463="2",I463,0)</f>
        <v>0</v>
      </c>
      <c r="X463" s="37">
        <f>IF(AG463="0",J463,0)</f>
        <v>0</v>
      </c>
      <c r="Y463" s="28"/>
      <c r="Z463" s="19">
        <f>IF(AD463=0,J463,0)</f>
        <v>0</v>
      </c>
      <c r="AA463" s="19">
        <f>IF(AD463=15,J463,0)</f>
        <v>0</v>
      </c>
      <c r="AB463" s="19">
        <f>IF(AD463=21,J463,0)</f>
        <v>0</v>
      </c>
      <c r="AD463" s="37">
        <v>21</v>
      </c>
      <c r="AE463" s="37">
        <f>G463*0</f>
        <v>0</v>
      </c>
      <c r="AF463" s="37">
        <f>G463*(1-0)</f>
        <v>0</v>
      </c>
      <c r="AG463" s="33" t="s">
        <v>7</v>
      </c>
      <c r="AM463" s="37">
        <f>F463*AE463</f>
        <v>0</v>
      </c>
      <c r="AN463" s="37">
        <f>F463*AF463</f>
        <v>0</v>
      </c>
      <c r="AO463" s="38" t="s">
        <v>1221</v>
      </c>
      <c r="AP463" s="38" t="s">
        <v>1221</v>
      </c>
      <c r="AQ463" s="28" t="s">
        <v>1234</v>
      </c>
      <c r="AS463" s="37">
        <f>AM463+AN463</f>
        <v>0</v>
      </c>
      <c r="AT463" s="37">
        <f>G463/(100-AU463)*100</f>
        <v>0</v>
      </c>
      <c r="AU463" s="37">
        <v>0</v>
      </c>
      <c r="AV463" s="37">
        <f>L463</f>
        <v>0</v>
      </c>
    </row>
    <row r="464" spans="1:13" ht="12.75">
      <c r="A464" s="9"/>
      <c r="B464" s="9"/>
      <c r="C464" s="9"/>
      <c r="D464" s="9"/>
      <c r="E464" s="9"/>
      <c r="F464" s="9"/>
      <c r="G464" s="9"/>
      <c r="H464" s="122" t="s">
        <v>1167</v>
      </c>
      <c r="I464" s="80"/>
      <c r="J464" s="41">
        <f>J12+J17+J19+J22+J30+J40+J44+J51+J55+J57+J60+J62+J69+J74+J76+J79+J84+J87+J95+J97+J116+J124+J138+J182+J232+J313+J356+J382+J391+J409+J422+J435+J450+J453+J460</f>
        <v>0</v>
      </c>
      <c r="K464" s="9"/>
      <c r="L464" s="9"/>
      <c r="M464" s="9"/>
    </row>
    <row r="465" ht="11.25" customHeight="1">
      <c r="A465" s="10" t="s">
        <v>377</v>
      </c>
    </row>
    <row r="466" spans="1:13" ht="12.75">
      <c r="A466" s="86"/>
      <c r="B466" s="78"/>
      <c r="C466" s="78"/>
      <c r="D466" s="78"/>
      <c r="E466" s="78"/>
      <c r="F466" s="78"/>
      <c r="G466" s="78"/>
      <c r="H466" s="78"/>
      <c r="I466" s="78"/>
      <c r="J466" s="78"/>
      <c r="K466" s="78"/>
      <c r="L466" s="78"/>
      <c r="M466" s="78"/>
    </row>
  </sheetData>
  <sheetProtection/>
  <mergeCells count="29">
    <mergeCell ref="H10:J10"/>
    <mergeCell ref="K10:L10"/>
    <mergeCell ref="H464:I464"/>
    <mergeCell ref="A466:M466"/>
    <mergeCell ref="A8:C9"/>
    <mergeCell ref="D8:D9"/>
    <mergeCell ref="E8:F9"/>
    <mergeCell ref="G8:H9"/>
    <mergeCell ref="I8:I9"/>
    <mergeCell ref="J8:M9"/>
    <mergeCell ref="A6:C7"/>
    <mergeCell ref="D6:D7"/>
    <mergeCell ref="E6:F7"/>
    <mergeCell ref="G6:H7"/>
    <mergeCell ref="I6:I7"/>
    <mergeCell ref="J6:M7"/>
    <mergeCell ref="A4:C5"/>
    <mergeCell ref="D4:D5"/>
    <mergeCell ref="E4:F5"/>
    <mergeCell ref="G4:H5"/>
    <mergeCell ref="I4:I5"/>
    <mergeCell ref="J4:M5"/>
    <mergeCell ref="A1:M1"/>
    <mergeCell ref="A2:C3"/>
    <mergeCell ref="D2:D3"/>
    <mergeCell ref="E2:F3"/>
    <mergeCell ref="G2:H3"/>
    <mergeCell ref="I2:I3"/>
    <mergeCell ref="J2:M3"/>
  </mergeCells>
  <printOptions/>
  <pageMargins left="0.394" right="0.394" top="0.591" bottom="0.591" header="0.5" footer="0.5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64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" sqref="A1:BX1"/>
    </sheetView>
  </sheetViews>
  <sheetFormatPr defaultColWidth="11.57421875" defaultRowHeight="12.75"/>
  <cols>
    <col min="1" max="76" width="2.8515625" style="0" customWidth="1"/>
    <col min="77" max="250" width="11.57421875" style="0" customWidth="1"/>
    <col min="251" max="254" width="12.140625" style="0" hidden="1" customWidth="1"/>
  </cols>
  <sheetData>
    <row r="1" spans="1:76" ht="72.75" customHeight="1">
      <c r="A1" s="112" t="s">
        <v>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13"/>
      <c r="BR1" s="113"/>
      <c r="BS1" s="113"/>
      <c r="BT1" s="113"/>
      <c r="BU1" s="113"/>
      <c r="BV1" s="113"/>
      <c r="BW1" s="113"/>
      <c r="BX1" s="113"/>
    </row>
    <row r="2" spans="1:77" ht="12.75">
      <c r="A2" s="75" t="s">
        <v>1</v>
      </c>
      <c r="B2" s="76"/>
      <c r="C2" s="76"/>
      <c r="D2" s="76"/>
      <c r="E2" s="76"/>
      <c r="F2" s="79" t="str">
        <f>'Stavební rozpočet'!D2</f>
        <v>Obslužný objekt koupaliště, novostavba Zákupy</v>
      </c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118" t="s">
        <v>1145</v>
      </c>
      <c r="AK2" s="76"/>
      <c r="AL2" s="76"/>
      <c r="AM2" s="76"/>
      <c r="AN2" s="76"/>
      <c r="AO2" s="76"/>
      <c r="AP2" s="76"/>
      <c r="AQ2" s="82" t="str">
        <f>'Stavební rozpočet'!G2</f>
        <v> </v>
      </c>
      <c r="AR2" s="76"/>
      <c r="AS2" s="76"/>
      <c r="AT2" s="76"/>
      <c r="AU2" s="76"/>
      <c r="AV2" s="76"/>
      <c r="AW2" s="82" t="s">
        <v>1168</v>
      </c>
      <c r="AX2" s="76"/>
      <c r="AY2" s="76"/>
      <c r="AZ2" s="76"/>
      <c r="BA2" s="76"/>
      <c r="BB2" s="76"/>
      <c r="BC2" s="76"/>
      <c r="BD2" s="82" t="str">
        <f>'Stavební rozpočet'!J2</f>
        <v> </v>
      </c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114"/>
      <c r="BY2" s="1"/>
    </row>
    <row r="3" spans="1:77" ht="12.75">
      <c r="A3" s="77"/>
      <c r="B3" s="78"/>
      <c r="C3" s="78"/>
      <c r="D3" s="78"/>
      <c r="E3" s="78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84"/>
      <c r="BY3" s="1"/>
    </row>
    <row r="4" spans="1:77" ht="12.75">
      <c r="A4" s="85" t="s">
        <v>2</v>
      </c>
      <c r="B4" s="78"/>
      <c r="C4" s="78"/>
      <c r="D4" s="78"/>
      <c r="E4" s="78"/>
      <c r="F4" s="86" t="str">
        <f>'Stavební rozpočet'!D4</f>
        <v> </v>
      </c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88" t="s">
        <v>1146</v>
      </c>
      <c r="AK4" s="78"/>
      <c r="AL4" s="78"/>
      <c r="AM4" s="78"/>
      <c r="AN4" s="78"/>
      <c r="AO4" s="78"/>
      <c r="AP4" s="78"/>
      <c r="AQ4" s="86">
        <f>'Stavební rozpočet'!G4</f>
        <v>0</v>
      </c>
      <c r="AR4" s="78"/>
      <c r="AS4" s="78"/>
      <c r="AT4" s="78"/>
      <c r="AU4" s="78"/>
      <c r="AV4" s="78"/>
      <c r="AW4" s="86" t="s">
        <v>1169</v>
      </c>
      <c r="AX4" s="78"/>
      <c r="AY4" s="78"/>
      <c r="AZ4" s="78"/>
      <c r="BA4" s="78"/>
      <c r="BB4" s="78"/>
      <c r="BC4" s="78"/>
      <c r="BD4" s="86" t="str">
        <f>'Stavební rozpočet'!J4</f>
        <v> </v>
      </c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78"/>
      <c r="BV4" s="78"/>
      <c r="BW4" s="78"/>
      <c r="BX4" s="84"/>
      <c r="BY4" s="1"/>
    </row>
    <row r="5" spans="1:77" ht="12.75">
      <c r="A5" s="77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8"/>
      <c r="BT5" s="78"/>
      <c r="BU5" s="78"/>
      <c r="BV5" s="78"/>
      <c r="BW5" s="78"/>
      <c r="BX5" s="84"/>
      <c r="BY5" s="1"/>
    </row>
    <row r="6" spans="1:77" ht="12.75">
      <c r="A6" s="85" t="s">
        <v>3</v>
      </c>
      <c r="B6" s="78"/>
      <c r="C6" s="78"/>
      <c r="D6" s="78"/>
      <c r="E6" s="78"/>
      <c r="F6" s="86" t="str">
        <f>'Stavební rozpočet'!D6</f>
        <v> </v>
      </c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88" t="s">
        <v>1147</v>
      </c>
      <c r="AK6" s="78"/>
      <c r="AL6" s="78"/>
      <c r="AM6" s="78"/>
      <c r="AN6" s="78"/>
      <c r="AO6" s="78"/>
      <c r="AP6" s="78"/>
      <c r="AQ6" s="86" t="str">
        <f>'Stavební rozpočet'!G6</f>
        <v> </v>
      </c>
      <c r="AR6" s="78"/>
      <c r="AS6" s="78"/>
      <c r="AT6" s="78"/>
      <c r="AU6" s="78"/>
      <c r="AV6" s="78"/>
      <c r="AW6" s="86" t="s">
        <v>1170</v>
      </c>
      <c r="AX6" s="78"/>
      <c r="AY6" s="78"/>
      <c r="AZ6" s="78"/>
      <c r="BA6" s="78"/>
      <c r="BB6" s="78"/>
      <c r="BC6" s="78"/>
      <c r="BD6" s="86" t="str">
        <f>'Stavební rozpočet'!J6</f>
        <v> </v>
      </c>
      <c r="BE6" s="78"/>
      <c r="BF6" s="78"/>
      <c r="BG6" s="78"/>
      <c r="BH6" s="78"/>
      <c r="BI6" s="78"/>
      <c r="BJ6" s="78"/>
      <c r="BK6" s="78"/>
      <c r="BL6" s="78"/>
      <c r="BM6" s="78"/>
      <c r="BN6" s="78"/>
      <c r="BO6" s="78"/>
      <c r="BP6" s="78"/>
      <c r="BQ6" s="78"/>
      <c r="BR6" s="78"/>
      <c r="BS6" s="78"/>
      <c r="BT6" s="78"/>
      <c r="BU6" s="78"/>
      <c r="BV6" s="78"/>
      <c r="BW6" s="78"/>
      <c r="BX6" s="84"/>
      <c r="BY6" s="1"/>
    </row>
    <row r="7" spans="1:77" ht="12.75">
      <c r="A7" s="77"/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84"/>
      <c r="BY7" s="1"/>
    </row>
    <row r="8" spans="1:77" ht="12.75">
      <c r="A8" s="85" t="s">
        <v>4</v>
      </c>
      <c r="B8" s="78"/>
      <c r="C8" s="78"/>
      <c r="D8" s="78"/>
      <c r="E8" s="78"/>
      <c r="F8" s="86" t="str">
        <f>'Stavební rozpočet'!D8</f>
        <v> </v>
      </c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88" t="s">
        <v>1148</v>
      </c>
      <c r="AK8" s="78"/>
      <c r="AL8" s="78"/>
      <c r="AM8" s="78"/>
      <c r="AN8" s="78"/>
      <c r="AO8" s="78"/>
      <c r="AP8" s="78"/>
      <c r="AQ8" s="86">
        <f>'Stavební rozpočet'!G8</f>
        <v>0</v>
      </c>
      <c r="AR8" s="78"/>
      <c r="AS8" s="78"/>
      <c r="AT8" s="78"/>
      <c r="AU8" s="78"/>
      <c r="AV8" s="78"/>
      <c r="AW8" s="86" t="s">
        <v>1171</v>
      </c>
      <c r="AX8" s="78"/>
      <c r="AY8" s="78"/>
      <c r="AZ8" s="78"/>
      <c r="BA8" s="78"/>
      <c r="BB8" s="78"/>
      <c r="BC8" s="78"/>
      <c r="BD8" s="86" t="str">
        <f>'Stavební rozpočet'!J8</f>
        <v> </v>
      </c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78"/>
      <c r="BR8" s="78"/>
      <c r="BS8" s="78"/>
      <c r="BT8" s="78"/>
      <c r="BU8" s="78"/>
      <c r="BV8" s="78"/>
      <c r="BW8" s="78"/>
      <c r="BX8" s="84"/>
      <c r="BY8" s="1"/>
    </row>
    <row r="9" spans="1:77" ht="12.75">
      <c r="A9" s="89"/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90"/>
      <c r="BI9" s="90"/>
      <c r="BJ9" s="90"/>
      <c r="BK9" s="90"/>
      <c r="BL9" s="90"/>
      <c r="BM9" s="90"/>
      <c r="BN9" s="90"/>
      <c r="BO9" s="90"/>
      <c r="BP9" s="90"/>
      <c r="BQ9" s="90"/>
      <c r="BR9" s="90"/>
      <c r="BS9" s="90"/>
      <c r="BT9" s="90"/>
      <c r="BU9" s="90"/>
      <c r="BV9" s="90"/>
      <c r="BW9" s="90"/>
      <c r="BX9" s="92"/>
      <c r="BY9" s="1"/>
    </row>
    <row r="10" spans="1:77" ht="12.75">
      <c r="A10" s="123" t="s">
        <v>5</v>
      </c>
      <c r="B10" s="124"/>
      <c r="C10" s="123" t="s">
        <v>378</v>
      </c>
      <c r="D10" s="125"/>
      <c r="E10" s="124"/>
      <c r="F10" s="123" t="s">
        <v>379</v>
      </c>
      <c r="G10" s="125"/>
      <c r="H10" s="125"/>
      <c r="I10" s="125"/>
      <c r="J10" s="125"/>
      <c r="K10" s="124"/>
      <c r="L10" s="123" t="s">
        <v>739</v>
      </c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5"/>
      <c r="AO10" s="125"/>
      <c r="AP10" s="125"/>
      <c r="AQ10" s="125"/>
      <c r="AR10" s="125"/>
      <c r="AS10" s="125"/>
      <c r="AT10" s="125"/>
      <c r="AU10" s="124"/>
      <c r="AV10" s="123" t="s">
        <v>1149</v>
      </c>
      <c r="AW10" s="124"/>
      <c r="AX10" s="123" t="s">
        <v>1162</v>
      </c>
      <c r="AY10" s="125"/>
      <c r="AZ10" s="125"/>
      <c r="BA10" s="125"/>
      <c r="BB10" s="124"/>
      <c r="BC10" s="123" t="s">
        <v>1235</v>
      </c>
      <c r="BD10" s="125"/>
      <c r="BE10" s="125"/>
      <c r="BF10" s="125"/>
      <c r="BG10" s="125"/>
      <c r="BH10" s="125"/>
      <c r="BI10" s="125"/>
      <c r="BJ10" s="124"/>
      <c r="BK10" s="123" t="s">
        <v>1236</v>
      </c>
      <c r="BL10" s="125"/>
      <c r="BM10" s="125"/>
      <c r="BN10" s="125"/>
      <c r="BO10" s="125"/>
      <c r="BP10" s="125"/>
      <c r="BQ10" s="125"/>
      <c r="BR10" s="124"/>
      <c r="BS10" s="123" t="s">
        <v>1237</v>
      </c>
      <c r="BT10" s="125"/>
      <c r="BU10" s="125"/>
      <c r="BV10" s="125"/>
      <c r="BW10" s="125"/>
      <c r="BX10" s="126"/>
      <c r="BY10" s="1"/>
    </row>
    <row r="11" spans="1:76" ht="12.75">
      <c r="A11" s="127" t="s">
        <v>6</v>
      </c>
      <c r="B11" s="128"/>
      <c r="C11" s="127" t="s">
        <v>6</v>
      </c>
      <c r="D11" s="128"/>
      <c r="E11" s="128"/>
      <c r="F11" s="127" t="s">
        <v>19</v>
      </c>
      <c r="G11" s="128"/>
      <c r="H11" s="128"/>
      <c r="I11" s="128"/>
      <c r="J11" s="128"/>
      <c r="K11" s="128"/>
      <c r="L11" s="127" t="s">
        <v>741</v>
      </c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7" t="s">
        <v>6</v>
      </c>
      <c r="AW11" s="128"/>
      <c r="AX11" s="129" t="s">
        <v>6</v>
      </c>
      <c r="AY11" s="130"/>
      <c r="AZ11" s="130"/>
      <c r="BA11" s="130"/>
      <c r="BB11" s="130"/>
      <c r="BC11" s="129" t="s">
        <v>6</v>
      </c>
      <c r="BD11" s="130"/>
      <c r="BE11" s="130"/>
      <c r="BF11" s="130"/>
      <c r="BG11" s="130"/>
      <c r="BH11" s="130"/>
      <c r="BI11" s="130"/>
      <c r="BJ11" s="130"/>
      <c r="BK11" s="131">
        <f>SUM(BK12:BK15)</f>
        <v>0</v>
      </c>
      <c r="BL11" s="130"/>
      <c r="BM11" s="130"/>
      <c r="BN11" s="130"/>
      <c r="BO11" s="130"/>
      <c r="BP11" s="130"/>
      <c r="BQ11" s="130"/>
      <c r="BR11" s="130"/>
      <c r="BS11" s="127" t="s">
        <v>6</v>
      </c>
      <c r="BT11" s="128"/>
      <c r="BU11" s="128"/>
      <c r="BV11" s="128"/>
      <c r="BW11" s="128"/>
      <c r="BX11" s="128"/>
    </row>
    <row r="12" spans="1:253" ht="12.75">
      <c r="A12" s="132" t="s">
        <v>7</v>
      </c>
      <c r="B12" s="133"/>
      <c r="C12" s="132"/>
      <c r="D12" s="133"/>
      <c r="E12" s="133"/>
      <c r="F12" s="132" t="s">
        <v>380</v>
      </c>
      <c r="G12" s="133"/>
      <c r="H12" s="133"/>
      <c r="I12" s="133"/>
      <c r="J12" s="133"/>
      <c r="K12" s="133"/>
      <c r="L12" s="132" t="s">
        <v>742</v>
      </c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133"/>
      <c r="AI12" s="133"/>
      <c r="AJ12" s="133"/>
      <c r="AK12" s="133"/>
      <c r="AL12" s="133"/>
      <c r="AM12" s="133"/>
      <c r="AN12" s="133"/>
      <c r="AO12" s="133"/>
      <c r="AP12" s="133"/>
      <c r="AQ12" s="133"/>
      <c r="AR12" s="133"/>
      <c r="AS12" s="133"/>
      <c r="AT12" s="133"/>
      <c r="AU12" s="133"/>
      <c r="AV12" s="132" t="s">
        <v>1150</v>
      </c>
      <c r="AW12" s="133"/>
      <c r="AX12" s="134">
        <f>'Stavební rozpočet'!F13</f>
        <v>9.114</v>
      </c>
      <c r="AY12" s="135"/>
      <c r="AZ12" s="135"/>
      <c r="BA12" s="135"/>
      <c r="BB12" s="135"/>
      <c r="BC12" s="134">
        <f>'Stavební rozpočet'!G13</f>
        <v>0</v>
      </c>
      <c r="BD12" s="135"/>
      <c r="BE12" s="135"/>
      <c r="BF12" s="135"/>
      <c r="BG12" s="135"/>
      <c r="BH12" s="135"/>
      <c r="BI12" s="135"/>
      <c r="BJ12" s="135"/>
      <c r="BK12" s="134">
        <f>IR12*AX12+IS12*AX12</f>
        <v>0</v>
      </c>
      <c r="BL12" s="135"/>
      <c r="BM12" s="135"/>
      <c r="BN12" s="135"/>
      <c r="BO12" s="135"/>
      <c r="BP12" s="135"/>
      <c r="BQ12" s="135"/>
      <c r="BR12" s="135"/>
      <c r="BS12" s="132" t="s">
        <v>1177</v>
      </c>
      <c r="BT12" s="133"/>
      <c r="BU12" s="133"/>
      <c r="BV12" s="133"/>
      <c r="BW12" s="133"/>
      <c r="BX12" s="133"/>
      <c r="IR12" s="46">
        <f>BC12*0</f>
        <v>0</v>
      </c>
      <c r="IS12" s="46">
        <f>BC12*(1-0)</f>
        <v>0</v>
      </c>
    </row>
    <row r="13" spans="1:253" ht="12.75">
      <c r="A13" s="132" t="s">
        <v>8</v>
      </c>
      <c r="B13" s="133"/>
      <c r="C13" s="132"/>
      <c r="D13" s="133"/>
      <c r="E13" s="133"/>
      <c r="F13" s="132" t="s">
        <v>381</v>
      </c>
      <c r="G13" s="133"/>
      <c r="H13" s="133"/>
      <c r="I13" s="133"/>
      <c r="J13" s="133"/>
      <c r="K13" s="133"/>
      <c r="L13" s="132" t="s">
        <v>743</v>
      </c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  <c r="AL13" s="133"/>
      <c r="AM13" s="133"/>
      <c r="AN13" s="133"/>
      <c r="AO13" s="133"/>
      <c r="AP13" s="133"/>
      <c r="AQ13" s="133"/>
      <c r="AR13" s="133"/>
      <c r="AS13" s="133"/>
      <c r="AT13" s="133"/>
      <c r="AU13" s="133"/>
      <c r="AV13" s="132" t="s">
        <v>1150</v>
      </c>
      <c r="AW13" s="133"/>
      <c r="AX13" s="134">
        <f>'Stavební rozpočet'!F14</f>
        <v>9.114</v>
      </c>
      <c r="AY13" s="135"/>
      <c r="AZ13" s="135"/>
      <c r="BA13" s="135"/>
      <c r="BB13" s="135"/>
      <c r="BC13" s="134">
        <f>'Stavební rozpočet'!G14</f>
        <v>0</v>
      </c>
      <c r="BD13" s="135"/>
      <c r="BE13" s="135"/>
      <c r="BF13" s="135"/>
      <c r="BG13" s="135"/>
      <c r="BH13" s="135"/>
      <c r="BI13" s="135"/>
      <c r="BJ13" s="135"/>
      <c r="BK13" s="134">
        <f>IR13*AX13+IS13*AX13</f>
        <v>0</v>
      </c>
      <c r="BL13" s="135"/>
      <c r="BM13" s="135"/>
      <c r="BN13" s="135"/>
      <c r="BO13" s="135"/>
      <c r="BP13" s="135"/>
      <c r="BQ13" s="135"/>
      <c r="BR13" s="135"/>
      <c r="BS13" s="132" t="s">
        <v>1177</v>
      </c>
      <c r="BT13" s="133"/>
      <c r="BU13" s="133"/>
      <c r="BV13" s="133"/>
      <c r="BW13" s="133"/>
      <c r="BX13" s="133"/>
      <c r="IR13" s="46">
        <f>BC13*0</f>
        <v>0</v>
      </c>
      <c r="IS13" s="46">
        <f>BC13*(1-0)</f>
        <v>0</v>
      </c>
    </row>
    <row r="14" spans="1:253" ht="12.75">
      <c r="A14" s="132" t="s">
        <v>9</v>
      </c>
      <c r="B14" s="133"/>
      <c r="C14" s="132"/>
      <c r="D14" s="133"/>
      <c r="E14" s="133"/>
      <c r="F14" s="132" t="s">
        <v>382</v>
      </c>
      <c r="G14" s="133"/>
      <c r="H14" s="133"/>
      <c r="I14" s="133"/>
      <c r="J14" s="133"/>
      <c r="K14" s="133"/>
      <c r="L14" s="132" t="s">
        <v>744</v>
      </c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33"/>
      <c r="AK14" s="133"/>
      <c r="AL14" s="133"/>
      <c r="AM14" s="133"/>
      <c r="AN14" s="133"/>
      <c r="AO14" s="133"/>
      <c r="AP14" s="133"/>
      <c r="AQ14" s="133"/>
      <c r="AR14" s="133"/>
      <c r="AS14" s="133"/>
      <c r="AT14" s="133"/>
      <c r="AU14" s="133"/>
      <c r="AV14" s="132" t="s">
        <v>1150</v>
      </c>
      <c r="AW14" s="133"/>
      <c r="AX14" s="134">
        <f>'Stavební rozpočet'!F15</f>
        <v>0.53</v>
      </c>
      <c r="AY14" s="135"/>
      <c r="AZ14" s="135"/>
      <c r="BA14" s="135"/>
      <c r="BB14" s="135"/>
      <c r="BC14" s="134">
        <f>'Stavební rozpočet'!G15</f>
        <v>0</v>
      </c>
      <c r="BD14" s="135"/>
      <c r="BE14" s="135"/>
      <c r="BF14" s="135"/>
      <c r="BG14" s="135"/>
      <c r="BH14" s="135"/>
      <c r="BI14" s="135"/>
      <c r="BJ14" s="135"/>
      <c r="BK14" s="134">
        <f>IR14*AX14+IS14*AX14</f>
        <v>0</v>
      </c>
      <c r="BL14" s="135"/>
      <c r="BM14" s="135"/>
      <c r="BN14" s="135"/>
      <c r="BO14" s="135"/>
      <c r="BP14" s="135"/>
      <c r="BQ14" s="135"/>
      <c r="BR14" s="135"/>
      <c r="BS14" s="132" t="s">
        <v>1177</v>
      </c>
      <c r="BT14" s="133"/>
      <c r="BU14" s="133"/>
      <c r="BV14" s="133"/>
      <c r="BW14" s="133"/>
      <c r="BX14" s="133"/>
      <c r="IR14" s="46">
        <f>BC14*0</f>
        <v>0</v>
      </c>
      <c r="IS14" s="46">
        <f>BC14*(1-0)</f>
        <v>0</v>
      </c>
    </row>
    <row r="15" spans="1:253" ht="12.75">
      <c r="A15" s="132" t="s">
        <v>10</v>
      </c>
      <c r="B15" s="133"/>
      <c r="C15" s="132"/>
      <c r="D15" s="133"/>
      <c r="E15" s="133"/>
      <c r="F15" s="132" t="s">
        <v>383</v>
      </c>
      <c r="G15" s="133"/>
      <c r="H15" s="133"/>
      <c r="I15" s="133"/>
      <c r="J15" s="133"/>
      <c r="K15" s="133"/>
      <c r="L15" s="132" t="s">
        <v>745</v>
      </c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  <c r="AJ15" s="133"/>
      <c r="AK15" s="133"/>
      <c r="AL15" s="133"/>
      <c r="AM15" s="133"/>
      <c r="AN15" s="133"/>
      <c r="AO15" s="133"/>
      <c r="AP15" s="133"/>
      <c r="AQ15" s="133"/>
      <c r="AR15" s="133"/>
      <c r="AS15" s="133"/>
      <c r="AT15" s="133"/>
      <c r="AU15" s="133"/>
      <c r="AV15" s="132" t="s">
        <v>1150</v>
      </c>
      <c r="AW15" s="133"/>
      <c r="AX15" s="134">
        <f>'Stavební rozpočet'!F16</f>
        <v>0.53</v>
      </c>
      <c r="AY15" s="135"/>
      <c r="AZ15" s="135"/>
      <c r="BA15" s="135"/>
      <c r="BB15" s="135"/>
      <c r="BC15" s="134">
        <f>'Stavební rozpočet'!G16</f>
        <v>0</v>
      </c>
      <c r="BD15" s="135"/>
      <c r="BE15" s="135"/>
      <c r="BF15" s="135"/>
      <c r="BG15" s="135"/>
      <c r="BH15" s="135"/>
      <c r="BI15" s="135"/>
      <c r="BJ15" s="135"/>
      <c r="BK15" s="134">
        <f>IR15*AX15+IS15*AX15</f>
        <v>0</v>
      </c>
      <c r="BL15" s="135"/>
      <c r="BM15" s="135"/>
      <c r="BN15" s="135"/>
      <c r="BO15" s="135"/>
      <c r="BP15" s="135"/>
      <c r="BQ15" s="135"/>
      <c r="BR15" s="135"/>
      <c r="BS15" s="132" t="s">
        <v>1177</v>
      </c>
      <c r="BT15" s="133"/>
      <c r="BU15" s="133"/>
      <c r="BV15" s="133"/>
      <c r="BW15" s="133"/>
      <c r="BX15" s="133"/>
      <c r="IR15" s="46">
        <f>BC15*0</f>
        <v>0</v>
      </c>
      <c r="IS15" s="46">
        <f>BC15*(1-0)</f>
        <v>0</v>
      </c>
    </row>
    <row r="16" spans="1:76" ht="12.75">
      <c r="A16" s="136" t="s">
        <v>6</v>
      </c>
      <c r="B16" s="137"/>
      <c r="C16" s="136" t="s">
        <v>6</v>
      </c>
      <c r="D16" s="137"/>
      <c r="E16" s="137"/>
      <c r="F16" s="136" t="s">
        <v>22</v>
      </c>
      <c r="G16" s="137"/>
      <c r="H16" s="137"/>
      <c r="I16" s="137"/>
      <c r="J16" s="137"/>
      <c r="K16" s="137"/>
      <c r="L16" s="136" t="s">
        <v>746</v>
      </c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6" t="s">
        <v>6</v>
      </c>
      <c r="AW16" s="137"/>
      <c r="AX16" s="138" t="s">
        <v>6</v>
      </c>
      <c r="AY16" s="139"/>
      <c r="AZ16" s="139"/>
      <c r="BA16" s="139"/>
      <c r="BB16" s="139"/>
      <c r="BC16" s="138" t="s">
        <v>6</v>
      </c>
      <c r="BD16" s="139"/>
      <c r="BE16" s="139"/>
      <c r="BF16" s="139"/>
      <c r="BG16" s="139"/>
      <c r="BH16" s="139"/>
      <c r="BI16" s="139"/>
      <c r="BJ16" s="139"/>
      <c r="BK16" s="140">
        <f>SUM(BK17:BK17)</f>
        <v>0</v>
      </c>
      <c r="BL16" s="139"/>
      <c r="BM16" s="139"/>
      <c r="BN16" s="139"/>
      <c r="BO16" s="139"/>
      <c r="BP16" s="139"/>
      <c r="BQ16" s="139"/>
      <c r="BR16" s="139"/>
      <c r="BS16" s="136" t="s">
        <v>6</v>
      </c>
      <c r="BT16" s="137"/>
      <c r="BU16" s="137"/>
      <c r="BV16" s="137"/>
      <c r="BW16" s="137"/>
      <c r="BX16" s="137"/>
    </row>
    <row r="17" spans="1:253" ht="12.75">
      <c r="A17" s="132" t="s">
        <v>11</v>
      </c>
      <c r="B17" s="133"/>
      <c r="C17" s="132"/>
      <c r="D17" s="133"/>
      <c r="E17" s="133"/>
      <c r="F17" s="132" t="s">
        <v>384</v>
      </c>
      <c r="G17" s="133"/>
      <c r="H17" s="133"/>
      <c r="I17" s="133"/>
      <c r="J17" s="133"/>
      <c r="K17" s="133"/>
      <c r="L17" s="132" t="s">
        <v>747</v>
      </c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2" t="s">
        <v>1150</v>
      </c>
      <c r="AW17" s="133"/>
      <c r="AX17" s="134">
        <f>'Stavební rozpočet'!F18</f>
        <v>9.644</v>
      </c>
      <c r="AY17" s="135"/>
      <c r="AZ17" s="135"/>
      <c r="BA17" s="135"/>
      <c r="BB17" s="135"/>
      <c r="BC17" s="134">
        <f>'Stavební rozpočet'!G18</f>
        <v>0</v>
      </c>
      <c r="BD17" s="135"/>
      <c r="BE17" s="135"/>
      <c r="BF17" s="135"/>
      <c r="BG17" s="135"/>
      <c r="BH17" s="135"/>
      <c r="BI17" s="135"/>
      <c r="BJ17" s="135"/>
      <c r="BK17" s="134">
        <f>IR17*AX17+IS17*AX17</f>
        <v>0</v>
      </c>
      <c r="BL17" s="135"/>
      <c r="BM17" s="135"/>
      <c r="BN17" s="135"/>
      <c r="BO17" s="135"/>
      <c r="BP17" s="135"/>
      <c r="BQ17" s="135"/>
      <c r="BR17" s="135"/>
      <c r="BS17" s="132" t="s">
        <v>1177</v>
      </c>
      <c r="BT17" s="133"/>
      <c r="BU17" s="133"/>
      <c r="BV17" s="133"/>
      <c r="BW17" s="133"/>
      <c r="BX17" s="133"/>
      <c r="IR17" s="46">
        <f>BC17*0</f>
        <v>0</v>
      </c>
      <c r="IS17" s="46">
        <f>BC17*(1-0)</f>
        <v>0</v>
      </c>
    </row>
    <row r="18" spans="1:76" ht="12.75">
      <c r="A18" s="136" t="s">
        <v>6</v>
      </c>
      <c r="B18" s="137"/>
      <c r="C18" s="136" t="s">
        <v>6</v>
      </c>
      <c r="D18" s="137"/>
      <c r="E18" s="137"/>
      <c r="F18" s="136" t="s">
        <v>24</v>
      </c>
      <c r="G18" s="137"/>
      <c r="H18" s="137"/>
      <c r="I18" s="137"/>
      <c r="J18" s="137"/>
      <c r="K18" s="137"/>
      <c r="L18" s="136" t="s">
        <v>748</v>
      </c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6" t="s">
        <v>6</v>
      </c>
      <c r="AW18" s="137"/>
      <c r="AX18" s="138" t="s">
        <v>6</v>
      </c>
      <c r="AY18" s="139"/>
      <c r="AZ18" s="139"/>
      <c r="BA18" s="139"/>
      <c r="BB18" s="139"/>
      <c r="BC18" s="138" t="s">
        <v>6</v>
      </c>
      <c r="BD18" s="139"/>
      <c r="BE18" s="139"/>
      <c r="BF18" s="139"/>
      <c r="BG18" s="139"/>
      <c r="BH18" s="139"/>
      <c r="BI18" s="139"/>
      <c r="BJ18" s="139"/>
      <c r="BK18" s="140">
        <f>SUM(BK19:BK20)</f>
        <v>0</v>
      </c>
      <c r="BL18" s="139"/>
      <c r="BM18" s="139"/>
      <c r="BN18" s="139"/>
      <c r="BO18" s="139"/>
      <c r="BP18" s="139"/>
      <c r="BQ18" s="139"/>
      <c r="BR18" s="139"/>
      <c r="BS18" s="136" t="s">
        <v>6</v>
      </c>
      <c r="BT18" s="137"/>
      <c r="BU18" s="137"/>
      <c r="BV18" s="137"/>
      <c r="BW18" s="137"/>
      <c r="BX18" s="137"/>
    </row>
    <row r="19" spans="1:253" ht="12.75">
      <c r="A19" s="132" t="s">
        <v>12</v>
      </c>
      <c r="B19" s="133"/>
      <c r="C19" s="132"/>
      <c r="D19" s="133"/>
      <c r="E19" s="133"/>
      <c r="F19" s="132" t="s">
        <v>385</v>
      </c>
      <c r="G19" s="133"/>
      <c r="H19" s="133"/>
      <c r="I19" s="133"/>
      <c r="J19" s="133"/>
      <c r="K19" s="133"/>
      <c r="L19" s="132" t="s">
        <v>749</v>
      </c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133"/>
      <c r="AD19" s="133"/>
      <c r="AE19" s="133"/>
      <c r="AF19" s="133"/>
      <c r="AG19" s="133"/>
      <c r="AH19" s="133"/>
      <c r="AI19" s="133"/>
      <c r="AJ19" s="133"/>
      <c r="AK19" s="133"/>
      <c r="AL19" s="133"/>
      <c r="AM19" s="133"/>
      <c r="AN19" s="133"/>
      <c r="AO19" s="133"/>
      <c r="AP19" s="133"/>
      <c r="AQ19" s="133"/>
      <c r="AR19" s="133"/>
      <c r="AS19" s="133"/>
      <c r="AT19" s="133"/>
      <c r="AU19" s="133"/>
      <c r="AV19" s="132" t="s">
        <v>1151</v>
      </c>
      <c r="AW19" s="133"/>
      <c r="AX19" s="134">
        <f>'Stavební rozpočet'!F20</f>
        <v>16</v>
      </c>
      <c r="AY19" s="135"/>
      <c r="AZ19" s="135"/>
      <c r="BA19" s="135"/>
      <c r="BB19" s="135"/>
      <c r="BC19" s="134">
        <f>'Stavební rozpočet'!G20</f>
        <v>0</v>
      </c>
      <c r="BD19" s="135"/>
      <c r="BE19" s="135"/>
      <c r="BF19" s="135"/>
      <c r="BG19" s="135"/>
      <c r="BH19" s="135"/>
      <c r="BI19" s="135"/>
      <c r="BJ19" s="135"/>
      <c r="BK19" s="134">
        <f>IR19*AX19+IS19*AX19</f>
        <v>0</v>
      </c>
      <c r="BL19" s="135"/>
      <c r="BM19" s="135"/>
      <c r="BN19" s="135"/>
      <c r="BO19" s="135"/>
      <c r="BP19" s="135"/>
      <c r="BQ19" s="135"/>
      <c r="BR19" s="135"/>
      <c r="BS19" s="132" t="s">
        <v>1177</v>
      </c>
      <c r="BT19" s="133"/>
      <c r="BU19" s="133"/>
      <c r="BV19" s="133"/>
      <c r="BW19" s="133"/>
      <c r="BX19" s="133"/>
      <c r="IR19" s="46">
        <f>BC19*0.0240168539325843</f>
        <v>0</v>
      </c>
      <c r="IS19" s="46">
        <f>BC19*(1-0.0240168539325843)</f>
        <v>0</v>
      </c>
    </row>
    <row r="20" spans="1:253" ht="12.75">
      <c r="A20" s="132" t="s">
        <v>13</v>
      </c>
      <c r="B20" s="133"/>
      <c r="C20" s="132"/>
      <c r="D20" s="133"/>
      <c r="E20" s="133"/>
      <c r="F20" s="132" t="s">
        <v>386</v>
      </c>
      <c r="G20" s="133"/>
      <c r="H20" s="133"/>
      <c r="I20" s="133"/>
      <c r="J20" s="133"/>
      <c r="K20" s="133"/>
      <c r="L20" s="132" t="s">
        <v>750</v>
      </c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133"/>
      <c r="AD20" s="133"/>
      <c r="AE20" s="133"/>
      <c r="AF20" s="133"/>
      <c r="AG20" s="133"/>
      <c r="AH20" s="133"/>
      <c r="AI20" s="133"/>
      <c r="AJ20" s="133"/>
      <c r="AK20" s="133"/>
      <c r="AL20" s="133"/>
      <c r="AM20" s="133"/>
      <c r="AN20" s="133"/>
      <c r="AO20" s="133"/>
      <c r="AP20" s="133"/>
      <c r="AQ20" s="133"/>
      <c r="AR20" s="133"/>
      <c r="AS20" s="133"/>
      <c r="AT20" s="133"/>
      <c r="AU20" s="133"/>
      <c r="AV20" s="132" t="s">
        <v>1151</v>
      </c>
      <c r="AW20" s="133"/>
      <c r="AX20" s="134">
        <f>'Stavební rozpočet'!F21</f>
        <v>16</v>
      </c>
      <c r="AY20" s="135"/>
      <c r="AZ20" s="135"/>
      <c r="BA20" s="135"/>
      <c r="BB20" s="135"/>
      <c r="BC20" s="134">
        <f>'Stavební rozpočet'!G21</f>
        <v>0</v>
      </c>
      <c r="BD20" s="135"/>
      <c r="BE20" s="135"/>
      <c r="BF20" s="135"/>
      <c r="BG20" s="135"/>
      <c r="BH20" s="135"/>
      <c r="BI20" s="135"/>
      <c r="BJ20" s="135"/>
      <c r="BK20" s="134">
        <f>IR20*AX20+IS20*AX20</f>
        <v>0</v>
      </c>
      <c r="BL20" s="135"/>
      <c r="BM20" s="135"/>
      <c r="BN20" s="135"/>
      <c r="BO20" s="135"/>
      <c r="BP20" s="135"/>
      <c r="BQ20" s="135"/>
      <c r="BR20" s="135"/>
      <c r="BS20" s="132" t="s">
        <v>1177</v>
      </c>
      <c r="BT20" s="133"/>
      <c r="BU20" s="133"/>
      <c r="BV20" s="133"/>
      <c r="BW20" s="133"/>
      <c r="BX20" s="133"/>
      <c r="IR20" s="46">
        <f>BC20*0</f>
        <v>0</v>
      </c>
      <c r="IS20" s="46">
        <f>BC20*(1-0)</f>
        <v>0</v>
      </c>
    </row>
    <row r="21" spans="1:76" ht="12.75">
      <c r="A21" s="136" t="s">
        <v>6</v>
      </c>
      <c r="B21" s="137"/>
      <c r="C21" s="136" t="s">
        <v>6</v>
      </c>
      <c r="D21" s="137"/>
      <c r="E21" s="137"/>
      <c r="F21" s="136" t="s">
        <v>33</v>
      </c>
      <c r="G21" s="137"/>
      <c r="H21" s="137"/>
      <c r="I21" s="137"/>
      <c r="J21" s="137"/>
      <c r="K21" s="137"/>
      <c r="L21" s="136" t="s">
        <v>751</v>
      </c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6" t="s">
        <v>6</v>
      </c>
      <c r="AW21" s="137"/>
      <c r="AX21" s="138" t="s">
        <v>6</v>
      </c>
      <c r="AY21" s="139"/>
      <c r="AZ21" s="139"/>
      <c r="BA21" s="139"/>
      <c r="BB21" s="139"/>
      <c r="BC21" s="138" t="s">
        <v>6</v>
      </c>
      <c r="BD21" s="139"/>
      <c r="BE21" s="139"/>
      <c r="BF21" s="139"/>
      <c r="BG21" s="139"/>
      <c r="BH21" s="139"/>
      <c r="BI21" s="139"/>
      <c r="BJ21" s="139"/>
      <c r="BK21" s="140">
        <f>SUM(BK22:BK28)</f>
        <v>0</v>
      </c>
      <c r="BL21" s="139"/>
      <c r="BM21" s="139"/>
      <c r="BN21" s="139"/>
      <c r="BO21" s="139"/>
      <c r="BP21" s="139"/>
      <c r="BQ21" s="139"/>
      <c r="BR21" s="139"/>
      <c r="BS21" s="136" t="s">
        <v>6</v>
      </c>
      <c r="BT21" s="137"/>
      <c r="BU21" s="137"/>
      <c r="BV21" s="137"/>
      <c r="BW21" s="137"/>
      <c r="BX21" s="137"/>
    </row>
    <row r="22" spans="1:253" ht="12.75">
      <c r="A22" s="132" t="s">
        <v>14</v>
      </c>
      <c r="B22" s="133"/>
      <c r="C22" s="132"/>
      <c r="D22" s="133"/>
      <c r="E22" s="133"/>
      <c r="F22" s="132" t="s">
        <v>387</v>
      </c>
      <c r="G22" s="133"/>
      <c r="H22" s="133"/>
      <c r="I22" s="133"/>
      <c r="J22" s="133"/>
      <c r="K22" s="133"/>
      <c r="L22" s="132" t="s">
        <v>752</v>
      </c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3"/>
      <c r="AA22" s="133"/>
      <c r="AB22" s="133"/>
      <c r="AC22" s="133"/>
      <c r="AD22" s="133"/>
      <c r="AE22" s="133"/>
      <c r="AF22" s="133"/>
      <c r="AG22" s="133"/>
      <c r="AH22" s="133"/>
      <c r="AI22" s="133"/>
      <c r="AJ22" s="133"/>
      <c r="AK22" s="133"/>
      <c r="AL22" s="133"/>
      <c r="AM22" s="133"/>
      <c r="AN22" s="133"/>
      <c r="AO22" s="133"/>
      <c r="AP22" s="133"/>
      <c r="AQ22" s="133"/>
      <c r="AR22" s="133"/>
      <c r="AS22" s="133"/>
      <c r="AT22" s="133"/>
      <c r="AU22" s="133"/>
      <c r="AV22" s="132" t="s">
        <v>1150</v>
      </c>
      <c r="AW22" s="133"/>
      <c r="AX22" s="134">
        <f>'Stavební rozpočet'!F23</f>
        <v>1.2832</v>
      </c>
      <c r="AY22" s="135"/>
      <c r="AZ22" s="135"/>
      <c r="BA22" s="135"/>
      <c r="BB22" s="135"/>
      <c r="BC22" s="134">
        <f>'Stavební rozpočet'!G23</f>
        <v>0</v>
      </c>
      <c r="BD22" s="135"/>
      <c r="BE22" s="135"/>
      <c r="BF22" s="135"/>
      <c r="BG22" s="135"/>
      <c r="BH22" s="135"/>
      <c r="BI22" s="135"/>
      <c r="BJ22" s="135"/>
      <c r="BK22" s="134">
        <f>IR22*AX22+IS22*AX22</f>
        <v>0</v>
      </c>
      <c r="BL22" s="135"/>
      <c r="BM22" s="135"/>
      <c r="BN22" s="135"/>
      <c r="BO22" s="135"/>
      <c r="BP22" s="135"/>
      <c r="BQ22" s="135"/>
      <c r="BR22" s="135"/>
      <c r="BS22" s="132" t="s">
        <v>1177</v>
      </c>
      <c r="BT22" s="133"/>
      <c r="BU22" s="133"/>
      <c r="BV22" s="133"/>
      <c r="BW22" s="133"/>
      <c r="BX22" s="133"/>
      <c r="IR22" s="46">
        <f>BC22*0.665556603773585</f>
        <v>0</v>
      </c>
      <c r="IS22" s="46">
        <f>BC22*(1-0.665556603773585)</f>
        <v>0</v>
      </c>
    </row>
    <row r="23" spans="1:253" ht="12.75">
      <c r="A23" s="132" t="s">
        <v>15</v>
      </c>
      <c r="B23" s="133"/>
      <c r="C23" s="132"/>
      <c r="D23" s="133"/>
      <c r="E23" s="133"/>
      <c r="F23" s="132" t="s">
        <v>388</v>
      </c>
      <c r="G23" s="133"/>
      <c r="H23" s="133"/>
      <c r="I23" s="133"/>
      <c r="J23" s="133"/>
      <c r="K23" s="133"/>
      <c r="L23" s="132" t="s">
        <v>753</v>
      </c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133"/>
      <c r="AA23" s="133"/>
      <c r="AB23" s="133"/>
      <c r="AC23" s="133"/>
      <c r="AD23" s="133"/>
      <c r="AE23" s="133"/>
      <c r="AF23" s="133"/>
      <c r="AG23" s="133"/>
      <c r="AH23" s="133"/>
      <c r="AI23" s="133"/>
      <c r="AJ23" s="133"/>
      <c r="AK23" s="133"/>
      <c r="AL23" s="133"/>
      <c r="AM23" s="133"/>
      <c r="AN23" s="133"/>
      <c r="AO23" s="133"/>
      <c r="AP23" s="133"/>
      <c r="AQ23" s="133"/>
      <c r="AR23" s="133"/>
      <c r="AS23" s="133"/>
      <c r="AT23" s="133"/>
      <c r="AU23" s="133"/>
      <c r="AV23" s="132" t="s">
        <v>1150</v>
      </c>
      <c r="AW23" s="133"/>
      <c r="AX23" s="134">
        <f>'Stavební rozpočet'!F24</f>
        <v>17.905</v>
      </c>
      <c r="AY23" s="135"/>
      <c r="AZ23" s="135"/>
      <c r="BA23" s="135"/>
      <c r="BB23" s="135"/>
      <c r="BC23" s="134">
        <f>'Stavební rozpočet'!G24</f>
        <v>0</v>
      </c>
      <c r="BD23" s="135"/>
      <c r="BE23" s="135"/>
      <c r="BF23" s="135"/>
      <c r="BG23" s="135"/>
      <c r="BH23" s="135"/>
      <c r="BI23" s="135"/>
      <c r="BJ23" s="135"/>
      <c r="BK23" s="134">
        <f>IR23*AX23+IS23*AX23</f>
        <v>0</v>
      </c>
      <c r="BL23" s="135"/>
      <c r="BM23" s="135"/>
      <c r="BN23" s="135"/>
      <c r="BO23" s="135"/>
      <c r="BP23" s="135"/>
      <c r="BQ23" s="135"/>
      <c r="BR23" s="135"/>
      <c r="BS23" s="132" t="s">
        <v>1177</v>
      </c>
      <c r="BT23" s="133"/>
      <c r="BU23" s="133"/>
      <c r="BV23" s="133"/>
      <c r="BW23" s="133"/>
      <c r="BX23" s="133"/>
      <c r="IR23" s="46">
        <f>BC23*0.903085158150851</f>
        <v>0</v>
      </c>
      <c r="IS23" s="46">
        <f>BC23*(1-0.903085158150851)</f>
        <v>0</v>
      </c>
    </row>
    <row r="24" spans="1:76" ht="12.75">
      <c r="A24" s="132"/>
      <c r="B24" s="133"/>
      <c r="C24" s="133"/>
      <c r="D24" s="133"/>
      <c r="E24" s="133"/>
      <c r="F24" s="133"/>
      <c r="G24" s="133"/>
      <c r="H24" s="133"/>
      <c r="I24" s="133"/>
      <c r="J24" s="133"/>
      <c r="K24" s="133"/>
      <c r="L24" s="141" t="s">
        <v>754</v>
      </c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2"/>
      <c r="AC24" s="142"/>
      <c r="AD24" s="142"/>
      <c r="AE24" s="142"/>
      <c r="AF24" s="142"/>
      <c r="AG24" s="142"/>
      <c r="AH24" s="142"/>
      <c r="AI24" s="142"/>
      <c r="AJ24" s="142"/>
      <c r="AK24" s="142"/>
      <c r="AL24" s="142"/>
      <c r="AM24" s="142"/>
      <c r="AN24" s="142"/>
      <c r="AO24" s="142"/>
      <c r="AP24" s="142"/>
      <c r="AQ24" s="142"/>
      <c r="AR24" s="142"/>
      <c r="AS24" s="142"/>
      <c r="AT24" s="142"/>
      <c r="AU24" s="142"/>
      <c r="AV24" s="132"/>
      <c r="AW24" s="133"/>
      <c r="AX24" s="133"/>
      <c r="AY24" s="133"/>
      <c r="AZ24" s="133"/>
      <c r="BA24" s="133"/>
      <c r="BB24" s="133"/>
      <c r="BC24" s="133"/>
      <c r="BD24" s="133"/>
      <c r="BE24" s="133"/>
      <c r="BF24" s="133"/>
      <c r="BG24" s="133"/>
      <c r="BH24" s="133"/>
      <c r="BI24" s="133"/>
      <c r="BJ24" s="133"/>
      <c r="BK24" s="133"/>
      <c r="BL24" s="133"/>
      <c r="BM24" s="133"/>
      <c r="BN24" s="133"/>
      <c r="BO24" s="133"/>
      <c r="BP24" s="133"/>
      <c r="BQ24" s="133"/>
      <c r="BR24" s="133"/>
      <c r="BS24" s="133"/>
      <c r="BT24" s="133"/>
      <c r="BU24" s="133"/>
      <c r="BV24" s="133"/>
      <c r="BW24" s="133"/>
      <c r="BX24" s="133"/>
    </row>
    <row r="25" spans="1:253" ht="12.75">
      <c r="A25" s="132" t="s">
        <v>16</v>
      </c>
      <c r="B25" s="133"/>
      <c r="C25" s="132"/>
      <c r="D25" s="133"/>
      <c r="E25" s="133"/>
      <c r="F25" s="132" t="s">
        <v>389</v>
      </c>
      <c r="G25" s="133"/>
      <c r="H25" s="133"/>
      <c r="I25" s="133"/>
      <c r="J25" s="133"/>
      <c r="K25" s="133"/>
      <c r="L25" s="132" t="s">
        <v>755</v>
      </c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  <c r="AF25" s="133"/>
      <c r="AG25" s="133"/>
      <c r="AH25" s="133"/>
      <c r="AI25" s="133"/>
      <c r="AJ25" s="133"/>
      <c r="AK25" s="133"/>
      <c r="AL25" s="133"/>
      <c r="AM25" s="133"/>
      <c r="AN25" s="133"/>
      <c r="AO25" s="133"/>
      <c r="AP25" s="133"/>
      <c r="AQ25" s="133"/>
      <c r="AR25" s="133"/>
      <c r="AS25" s="133"/>
      <c r="AT25" s="133"/>
      <c r="AU25" s="133"/>
      <c r="AV25" s="132" t="s">
        <v>1152</v>
      </c>
      <c r="AW25" s="133"/>
      <c r="AX25" s="134">
        <f>'Stavební rozpočet'!F26</f>
        <v>1.37869</v>
      </c>
      <c r="AY25" s="135"/>
      <c r="AZ25" s="135"/>
      <c r="BA25" s="135"/>
      <c r="BB25" s="135"/>
      <c r="BC25" s="134">
        <f>'Stavební rozpočet'!G26</f>
        <v>0</v>
      </c>
      <c r="BD25" s="135"/>
      <c r="BE25" s="135"/>
      <c r="BF25" s="135"/>
      <c r="BG25" s="135"/>
      <c r="BH25" s="135"/>
      <c r="BI25" s="135"/>
      <c r="BJ25" s="135"/>
      <c r="BK25" s="134">
        <f>IR25*AX25+IS25*AX25</f>
        <v>0</v>
      </c>
      <c r="BL25" s="135"/>
      <c r="BM25" s="135"/>
      <c r="BN25" s="135"/>
      <c r="BO25" s="135"/>
      <c r="BP25" s="135"/>
      <c r="BQ25" s="135"/>
      <c r="BR25" s="135"/>
      <c r="BS25" s="132" t="s">
        <v>1177</v>
      </c>
      <c r="BT25" s="133"/>
      <c r="BU25" s="133"/>
      <c r="BV25" s="133"/>
      <c r="BW25" s="133"/>
      <c r="BX25" s="133"/>
      <c r="IR25" s="46">
        <f>BC25*0.80439326455369</f>
        <v>0</v>
      </c>
      <c r="IS25" s="46">
        <f>BC25*(1-0.80439326455369)</f>
        <v>0</v>
      </c>
    </row>
    <row r="26" spans="1:76" ht="12.75">
      <c r="A26" s="132"/>
      <c r="B26" s="133"/>
      <c r="C26" s="133"/>
      <c r="D26" s="133"/>
      <c r="E26" s="133"/>
      <c r="F26" s="133"/>
      <c r="G26" s="133"/>
      <c r="H26" s="133"/>
      <c r="I26" s="133"/>
      <c r="J26" s="133"/>
      <c r="K26" s="133"/>
      <c r="L26" s="141" t="s">
        <v>756</v>
      </c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  <c r="AB26" s="142"/>
      <c r="AC26" s="142"/>
      <c r="AD26" s="142"/>
      <c r="AE26" s="142"/>
      <c r="AF26" s="142"/>
      <c r="AG26" s="142"/>
      <c r="AH26" s="142"/>
      <c r="AI26" s="142"/>
      <c r="AJ26" s="142"/>
      <c r="AK26" s="142"/>
      <c r="AL26" s="142"/>
      <c r="AM26" s="142"/>
      <c r="AN26" s="142"/>
      <c r="AO26" s="142"/>
      <c r="AP26" s="142"/>
      <c r="AQ26" s="142"/>
      <c r="AR26" s="142"/>
      <c r="AS26" s="142"/>
      <c r="AT26" s="142"/>
      <c r="AU26" s="142"/>
      <c r="AV26" s="132"/>
      <c r="AW26" s="133"/>
      <c r="AX26" s="133"/>
      <c r="AY26" s="133"/>
      <c r="AZ26" s="133"/>
      <c r="BA26" s="133"/>
      <c r="BB26" s="133"/>
      <c r="BC26" s="133"/>
      <c r="BD26" s="133"/>
      <c r="BE26" s="133"/>
      <c r="BF26" s="133"/>
      <c r="BG26" s="133"/>
      <c r="BH26" s="133"/>
      <c r="BI26" s="133"/>
      <c r="BJ26" s="133"/>
      <c r="BK26" s="133"/>
      <c r="BL26" s="133"/>
      <c r="BM26" s="133"/>
      <c r="BN26" s="133"/>
      <c r="BO26" s="133"/>
      <c r="BP26" s="133"/>
      <c r="BQ26" s="133"/>
      <c r="BR26" s="133"/>
      <c r="BS26" s="133"/>
      <c r="BT26" s="133"/>
      <c r="BU26" s="133"/>
      <c r="BV26" s="133"/>
      <c r="BW26" s="133"/>
      <c r="BX26" s="133"/>
    </row>
    <row r="27" spans="1:253" ht="12.75">
      <c r="A27" s="132" t="s">
        <v>17</v>
      </c>
      <c r="B27" s="133"/>
      <c r="C27" s="132"/>
      <c r="D27" s="133"/>
      <c r="E27" s="133"/>
      <c r="F27" s="132" t="s">
        <v>390</v>
      </c>
      <c r="G27" s="133"/>
      <c r="H27" s="133"/>
      <c r="I27" s="133"/>
      <c r="J27" s="133"/>
      <c r="K27" s="133"/>
      <c r="L27" s="132" t="s">
        <v>757</v>
      </c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33"/>
      <c r="X27" s="133"/>
      <c r="Y27" s="133"/>
      <c r="Z27" s="133"/>
      <c r="AA27" s="133"/>
      <c r="AB27" s="133"/>
      <c r="AC27" s="133"/>
      <c r="AD27" s="133"/>
      <c r="AE27" s="133"/>
      <c r="AF27" s="133"/>
      <c r="AG27" s="133"/>
      <c r="AH27" s="133"/>
      <c r="AI27" s="133"/>
      <c r="AJ27" s="133"/>
      <c r="AK27" s="133"/>
      <c r="AL27" s="133"/>
      <c r="AM27" s="133"/>
      <c r="AN27" s="133"/>
      <c r="AO27" s="133"/>
      <c r="AP27" s="133"/>
      <c r="AQ27" s="133"/>
      <c r="AR27" s="133"/>
      <c r="AS27" s="133"/>
      <c r="AT27" s="133"/>
      <c r="AU27" s="133"/>
      <c r="AV27" s="132" t="s">
        <v>1150</v>
      </c>
      <c r="AW27" s="133"/>
      <c r="AX27" s="134">
        <f>'Stavební rozpočet'!F28</f>
        <v>9.7216</v>
      </c>
      <c r="AY27" s="135"/>
      <c r="AZ27" s="135"/>
      <c r="BA27" s="135"/>
      <c r="BB27" s="135"/>
      <c r="BC27" s="134">
        <f>'Stavební rozpočet'!G28</f>
        <v>0</v>
      </c>
      <c r="BD27" s="135"/>
      <c r="BE27" s="135"/>
      <c r="BF27" s="135"/>
      <c r="BG27" s="135"/>
      <c r="BH27" s="135"/>
      <c r="BI27" s="135"/>
      <c r="BJ27" s="135"/>
      <c r="BK27" s="134">
        <f>IR27*AX27+IS27*AX27</f>
        <v>0</v>
      </c>
      <c r="BL27" s="135"/>
      <c r="BM27" s="135"/>
      <c r="BN27" s="135"/>
      <c r="BO27" s="135"/>
      <c r="BP27" s="135"/>
      <c r="BQ27" s="135"/>
      <c r="BR27" s="135"/>
      <c r="BS27" s="132" t="s">
        <v>1177</v>
      </c>
      <c r="BT27" s="133"/>
      <c r="BU27" s="133"/>
      <c r="BV27" s="133"/>
      <c r="BW27" s="133"/>
      <c r="BX27" s="133"/>
      <c r="IR27" s="46">
        <f>BC27*0.895352040816327</f>
        <v>0</v>
      </c>
      <c r="IS27" s="46">
        <f>BC27*(1-0.895352040816327)</f>
        <v>0</v>
      </c>
    </row>
    <row r="28" spans="1:253" ht="12.75">
      <c r="A28" s="132" t="s">
        <v>18</v>
      </c>
      <c r="B28" s="133"/>
      <c r="C28" s="132"/>
      <c r="D28" s="133"/>
      <c r="E28" s="133"/>
      <c r="F28" s="132" t="s">
        <v>391</v>
      </c>
      <c r="G28" s="133"/>
      <c r="H28" s="133"/>
      <c r="I28" s="133"/>
      <c r="J28" s="133"/>
      <c r="K28" s="133"/>
      <c r="L28" s="132" t="s">
        <v>758</v>
      </c>
      <c r="M28" s="133"/>
      <c r="N28" s="133"/>
      <c r="O28" s="133"/>
      <c r="P28" s="133"/>
      <c r="Q28" s="133"/>
      <c r="R28" s="133"/>
      <c r="S28" s="133"/>
      <c r="T28" s="133"/>
      <c r="U28" s="133"/>
      <c r="V28" s="133"/>
      <c r="W28" s="133"/>
      <c r="X28" s="133"/>
      <c r="Y28" s="133"/>
      <c r="Z28" s="133"/>
      <c r="AA28" s="133"/>
      <c r="AB28" s="133"/>
      <c r="AC28" s="133"/>
      <c r="AD28" s="133"/>
      <c r="AE28" s="133"/>
      <c r="AF28" s="133"/>
      <c r="AG28" s="133"/>
      <c r="AH28" s="133"/>
      <c r="AI28" s="133"/>
      <c r="AJ28" s="133"/>
      <c r="AK28" s="133"/>
      <c r="AL28" s="133"/>
      <c r="AM28" s="133"/>
      <c r="AN28" s="133"/>
      <c r="AO28" s="133"/>
      <c r="AP28" s="133"/>
      <c r="AQ28" s="133"/>
      <c r="AR28" s="133"/>
      <c r="AS28" s="133"/>
      <c r="AT28" s="133"/>
      <c r="AU28" s="133"/>
      <c r="AV28" s="132" t="s">
        <v>1150</v>
      </c>
      <c r="AW28" s="133"/>
      <c r="AX28" s="134">
        <f>'Stavební rozpočet'!F29</f>
        <v>0.436</v>
      </c>
      <c r="AY28" s="135"/>
      <c r="AZ28" s="135"/>
      <c r="BA28" s="135"/>
      <c r="BB28" s="135"/>
      <c r="BC28" s="134">
        <f>'Stavební rozpočet'!G29</f>
        <v>0</v>
      </c>
      <c r="BD28" s="135"/>
      <c r="BE28" s="135"/>
      <c r="BF28" s="135"/>
      <c r="BG28" s="135"/>
      <c r="BH28" s="135"/>
      <c r="BI28" s="135"/>
      <c r="BJ28" s="135"/>
      <c r="BK28" s="134">
        <f>IR28*AX28+IS28*AX28</f>
        <v>0</v>
      </c>
      <c r="BL28" s="135"/>
      <c r="BM28" s="135"/>
      <c r="BN28" s="135"/>
      <c r="BO28" s="135"/>
      <c r="BP28" s="135"/>
      <c r="BQ28" s="135"/>
      <c r="BR28" s="135"/>
      <c r="BS28" s="132" t="s">
        <v>1177</v>
      </c>
      <c r="BT28" s="133"/>
      <c r="BU28" s="133"/>
      <c r="BV28" s="133"/>
      <c r="BW28" s="133"/>
      <c r="BX28" s="133"/>
      <c r="IR28" s="46">
        <f>BC28*0.895352040816327</f>
        <v>0</v>
      </c>
      <c r="IS28" s="46">
        <f>BC28*(1-0.895352040816327)</f>
        <v>0</v>
      </c>
    </row>
    <row r="29" spans="1:76" ht="12.75">
      <c r="A29" s="136" t="s">
        <v>6</v>
      </c>
      <c r="B29" s="137"/>
      <c r="C29" s="136" t="s">
        <v>6</v>
      </c>
      <c r="D29" s="137"/>
      <c r="E29" s="137"/>
      <c r="F29" s="136" t="s">
        <v>37</v>
      </c>
      <c r="G29" s="137"/>
      <c r="H29" s="137"/>
      <c r="I29" s="137"/>
      <c r="J29" s="137"/>
      <c r="K29" s="137"/>
      <c r="L29" s="136" t="s">
        <v>759</v>
      </c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6" t="s">
        <v>6</v>
      </c>
      <c r="AW29" s="137"/>
      <c r="AX29" s="138" t="s">
        <v>6</v>
      </c>
      <c r="AY29" s="139"/>
      <c r="AZ29" s="139"/>
      <c r="BA29" s="139"/>
      <c r="BB29" s="139"/>
      <c r="BC29" s="138" t="s">
        <v>6</v>
      </c>
      <c r="BD29" s="139"/>
      <c r="BE29" s="139"/>
      <c r="BF29" s="139"/>
      <c r="BG29" s="139"/>
      <c r="BH29" s="139"/>
      <c r="BI29" s="139"/>
      <c r="BJ29" s="139"/>
      <c r="BK29" s="140">
        <f>SUM(BK30:BK37)</f>
        <v>0</v>
      </c>
      <c r="BL29" s="139"/>
      <c r="BM29" s="139"/>
      <c r="BN29" s="139"/>
      <c r="BO29" s="139"/>
      <c r="BP29" s="139"/>
      <c r="BQ29" s="139"/>
      <c r="BR29" s="139"/>
      <c r="BS29" s="136" t="s">
        <v>6</v>
      </c>
      <c r="BT29" s="137"/>
      <c r="BU29" s="137"/>
      <c r="BV29" s="137"/>
      <c r="BW29" s="137"/>
      <c r="BX29" s="137"/>
    </row>
    <row r="30" spans="1:253" ht="12.75">
      <c r="A30" s="132" t="s">
        <v>19</v>
      </c>
      <c r="B30" s="133"/>
      <c r="C30" s="132"/>
      <c r="D30" s="133"/>
      <c r="E30" s="133"/>
      <c r="F30" s="132" t="s">
        <v>392</v>
      </c>
      <c r="G30" s="133"/>
      <c r="H30" s="133"/>
      <c r="I30" s="133"/>
      <c r="J30" s="133"/>
      <c r="K30" s="133"/>
      <c r="L30" s="132" t="s">
        <v>760</v>
      </c>
      <c r="M30" s="133"/>
      <c r="N30" s="133"/>
      <c r="O30" s="133"/>
      <c r="P30" s="133"/>
      <c r="Q30" s="133"/>
      <c r="R30" s="133"/>
      <c r="S30" s="133"/>
      <c r="T30" s="133"/>
      <c r="U30" s="133"/>
      <c r="V30" s="133"/>
      <c r="W30" s="133"/>
      <c r="X30" s="133"/>
      <c r="Y30" s="133"/>
      <c r="Z30" s="133"/>
      <c r="AA30" s="133"/>
      <c r="AB30" s="133"/>
      <c r="AC30" s="133"/>
      <c r="AD30" s="133"/>
      <c r="AE30" s="133"/>
      <c r="AF30" s="133"/>
      <c r="AG30" s="133"/>
      <c r="AH30" s="133"/>
      <c r="AI30" s="133"/>
      <c r="AJ30" s="133"/>
      <c r="AK30" s="133"/>
      <c r="AL30" s="133"/>
      <c r="AM30" s="133"/>
      <c r="AN30" s="133"/>
      <c r="AO30" s="133"/>
      <c r="AP30" s="133"/>
      <c r="AQ30" s="133"/>
      <c r="AR30" s="133"/>
      <c r="AS30" s="133"/>
      <c r="AT30" s="133"/>
      <c r="AU30" s="133"/>
      <c r="AV30" s="132" t="s">
        <v>1151</v>
      </c>
      <c r="AW30" s="133"/>
      <c r="AX30" s="134">
        <f>'Stavební rozpočet'!F31</f>
        <v>92.087</v>
      </c>
      <c r="AY30" s="135"/>
      <c r="AZ30" s="135"/>
      <c r="BA30" s="135"/>
      <c r="BB30" s="135"/>
      <c r="BC30" s="134">
        <f>'Stavební rozpočet'!G31</f>
        <v>0</v>
      </c>
      <c r="BD30" s="135"/>
      <c r="BE30" s="135"/>
      <c r="BF30" s="135"/>
      <c r="BG30" s="135"/>
      <c r="BH30" s="135"/>
      <c r="BI30" s="135"/>
      <c r="BJ30" s="135"/>
      <c r="BK30" s="134">
        <f>IR30*AX30+IS30*AX30</f>
        <v>0</v>
      </c>
      <c r="BL30" s="135"/>
      <c r="BM30" s="135"/>
      <c r="BN30" s="135"/>
      <c r="BO30" s="135"/>
      <c r="BP30" s="135"/>
      <c r="BQ30" s="135"/>
      <c r="BR30" s="135"/>
      <c r="BS30" s="132" t="s">
        <v>1177</v>
      </c>
      <c r="BT30" s="133"/>
      <c r="BU30" s="133"/>
      <c r="BV30" s="133"/>
      <c r="BW30" s="133"/>
      <c r="BX30" s="133"/>
      <c r="IR30" s="46">
        <f>BC30*0.72972828269308</f>
        <v>0</v>
      </c>
      <c r="IS30" s="46">
        <f>BC30*(1-0.72972828269308)</f>
        <v>0</v>
      </c>
    </row>
    <row r="31" spans="1:253" ht="12.75">
      <c r="A31" s="132" t="s">
        <v>20</v>
      </c>
      <c r="B31" s="133"/>
      <c r="C31" s="132"/>
      <c r="D31" s="133"/>
      <c r="E31" s="133"/>
      <c r="F31" s="132" t="s">
        <v>393</v>
      </c>
      <c r="G31" s="133"/>
      <c r="H31" s="133"/>
      <c r="I31" s="133"/>
      <c r="J31" s="133"/>
      <c r="K31" s="133"/>
      <c r="L31" s="132" t="s">
        <v>761</v>
      </c>
      <c r="M31" s="133"/>
      <c r="N31" s="133"/>
      <c r="O31" s="133"/>
      <c r="P31" s="133"/>
      <c r="Q31" s="133"/>
      <c r="R31" s="133"/>
      <c r="S31" s="133"/>
      <c r="T31" s="133"/>
      <c r="U31" s="133"/>
      <c r="V31" s="133"/>
      <c r="W31" s="133"/>
      <c r="X31" s="133"/>
      <c r="Y31" s="133"/>
      <c r="Z31" s="133"/>
      <c r="AA31" s="133"/>
      <c r="AB31" s="133"/>
      <c r="AC31" s="133"/>
      <c r="AD31" s="133"/>
      <c r="AE31" s="133"/>
      <c r="AF31" s="133"/>
      <c r="AG31" s="133"/>
      <c r="AH31" s="133"/>
      <c r="AI31" s="133"/>
      <c r="AJ31" s="133"/>
      <c r="AK31" s="133"/>
      <c r="AL31" s="133"/>
      <c r="AM31" s="133"/>
      <c r="AN31" s="133"/>
      <c r="AO31" s="133"/>
      <c r="AP31" s="133"/>
      <c r="AQ31" s="133"/>
      <c r="AR31" s="133"/>
      <c r="AS31" s="133"/>
      <c r="AT31" s="133"/>
      <c r="AU31" s="133"/>
      <c r="AV31" s="132" t="s">
        <v>1153</v>
      </c>
      <c r="AW31" s="133"/>
      <c r="AX31" s="134">
        <f>'Stavební rozpočet'!F32</f>
        <v>3</v>
      </c>
      <c r="AY31" s="135"/>
      <c r="AZ31" s="135"/>
      <c r="BA31" s="135"/>
      <c r="BB31" s="135"/>
      <c r="BC31" s="134">
        <f>'Stavební rozpočet'!G32</f>
        <v>0</v>
      </c>
      <c r="BD31" s="135"/>
      <c r="BE31" s="135"/>
      <c r="BF31" s="135"/>
      <c r="BG31" s="135"/>
      <c r="BH31" s="135"/>
      <c r="BI31" s="135"/>
      <c r="BJ31" s="135"/>
      <c r="BK31" s="134">
        <f>IR31*AX31+IS31*AX31</f>
        <v>0</v>
      </c>
      <c r="BL31" s="135"/>
      <c r="BM31" s="135"/>
      <c r="BN31" s="135"/>
      <c r="BO31" s="135"/>
      <c r="BP31" s="135"/>
      <c r="BQ31" s="135"/>
      <c r="BR31" s="135"/>
      <c r="BS31" s="132" t="s">
        <v>1177</v>
      </c>
      <c r="BT31" s="133"/>
      <c r="BU31" s="133"/>
      <c r="BV31" s="133"/>
      <c r="BW31" s="133"/>
      <c r="BX31" s="133"/>
      <c r="IR31" s="46">
        <f>BC31*0.845704231652402</f>
        <v>0</v>
      </c>
      <c r="IS31" s="46">
        <f>BC31*(1-0.845704231652402)</f>
        <v>0</v>
      </c>
    </row>
    <row r="32" spans="1:76" ht="12.75">
      <c r="A32" s="132"/>
      <c r="B32" s="133"/>
      <c r="C32" s="133"/>
      <c r="D32" s="133"/>
      <c r="E32" s="133"/>
      <c r="F32" s="133"/>
      <c r="G32" s="133"/>
      <c r="H32" s="133"/>
      <c r="I32" s="133"/>
      <c r="J32" s="133"/>
      <c r="K32" s="133"/>
      <c r="L32" s="141" t="s">
        <v>762</v>
      </c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  <c r="AB32" s="142"/>
      <c r="AC32" s="142"/>
      <c r="AD32" s="142"/>
      <c r="AE32" s="142"/>
      <c r="AF32" s="142"/>
      <c r="AG32" s="142"/>
      <c r="AH32" s="142"/>
      <c r="AI32" s="142"/>
      <c r="AJ32" s="142"/>
      <c r="AK32" s="142"/>
      <c r="AL32" s="142"/>
      <c r="AM32" s="142"/>
      <c r="AN32" s="142"/>
      <c r="AO32" s="142"/>
      <c r="AP32" s="142"/>
      <c r="AQ32" s="142"/>
      <c r="AR32" s="142"/>
      <c r="AS32" s="142"/>
      <c r="AT32" s="142"/>
      <c r="AU32" s="142"/>
      <c r="AV32" s="132"/>
      <c r="AW32" s="133"/>
      <c r="AX32" s="133"/>
      <c r="AY32" s="133"/>
      <c r="AZ32" s="133"/>
      <c r="BA32" s="133"/>
      <c r="BB32" s="133"/>
      <c r="BC32" s="133"/>
      <c r="BD32" s="133"/>
      <c r="BE32" s="133"/>
      <c r="BF32" s="133"/>
      <c r="BG32" s="133"/>
      <c r="BH32" s="133"/>
      <c r="BI32" s="133"/>
      <c r="BJ32" s="133"/>
      <c r="BK32" s="133"/>
      <c r="BL32" s="133"/>
      <c r="BM32" s="133"/>
      <c r="BN32" s="133"/>
      <c r="BO32" s="133"/>
      <c r="BP32" s="133"/>
      <c r="BQ32" s="133"/>
      <c r="BR32" s="133"/>
      <c r="BS32" s="133"/>
      <c r="BT32" s="133"/>
      <c r="BU32" s="133"/>
      <c r="BV32" s="133"/>
      <c r="BW32" s="133"/>
      <c r="BX32" s="133"/>
    </row>
    <row r="33" spans="1:253" ht="12.75">
      <c r="A33" s="132" t="s">
        <v>21</v>
      </c>
      <c r="B33" s="133"/>
      <c r="C33" s="132"/>
      <c r="D33" s="133"/>
      <c r="E33" s="133"/>
      <c r="F33" s="132" t="s">
        <v>394</v>
      </c>
      <c r="G33" s="133"/>
      <c r="H33" s="133"/>
      <c r="I33" s="133"/>
      <c r="J33" s="133"/>
      <c r="K33" s="133"/>
      <c r="L33" s="132" t="s">
        <v>763</v>
      </c>
      <c r="M33" s="133"/>
      <c r="N33" s="133"/>
      <c r="O33" s="133"/>
      <c r="P33" s="133"/>
      <c r="Q33" s="133"/>
      <c r="R33" s="133"/>
      <c r="S33" s="133"/>
      <c r="T33" s="133"/>
      <c r="U33" s="133"/>
      <c r="V33" s="133"/>
      <c r="W33" s="133"/>
      <c r="X33" s="133"/>
      <c r="Y33" s="133"/>
      <c r="Z33" s="133"/>
      <c r="AA33" s="133"/>
      <c r="AB33" s="133"/>
      <c r="AC33" s="133"/>
      <c r="AD33" s="133"/>
      <c r="AE33" s="133"/>
      <c r="AF33" s="133"/>
      <c r="AG33" s="133"/>
      <c r="AH33" s="133"/>
      <c r="AI33" s="133"/>
      <c r="AJ33" s="133"/>
      <c r="AK33" s="133"/>
      <c r="AL33" s="133"/>
      <c r="AM33" s="133"/>
      <c r="AN33" s="133"/>
      <c r="AO33" s="133"/>
      <c r="AP33" s="133"/>
      <c r="AQ33" s="133"/>
      <c r="AR33" s="133"/>
      <c r="AS33" s="133"/>
      <c r="AT33" s="133"/>
      <c r="AU33" s="133"/>
      <c r="AV33" s="132" t="s">
        <v>1153</v>
      </c>
      <c r="AW33" s="133"/>
      <c r="AX33" s="134">
        <f>'Stavební rozpočet'!F34</f>
        <v>2</v>
      </c>
      <c r="AY33" s="135"/>
      <c r="AZ33" s="135"/>
      <c r="BA33" s="135"/>
      <c r="BB33" s="135"/>
      <c r="BC33" s="134">
        <f>'Stavební rozpočet'!G34</f>
        <v>0</v>
      </c>
      <c r="BD33" s="135"/>
      <c r="BE33" s="135"/>
      <c r="BF33" s="135"/>
      <c r="BG33" s="135"/>
      <c r="BH33" s="135"/>
      <c r="BI33" s="135"/>
      <c r="BJ33" s="135"/>
      <c r="BK33" s="134">
        <f>IR33*AX33+IS33*AX33</f>
        <v>0</v>
      </c>
      <c r="BL33" s="135"/>
      <c r="BM33" s="135"/>
      <c r="BN33" s="135"/>
      <c r="BO33" s="135"/>
      <c r="BP33" s="135"/>
      <c r="BQ33" s="135"/>
      <c r="BR33" s="135"/>
      <c r="BS33" s="132" t="s">
        <v>1177</v>
      </c>
      <c r="BT33" s="133"/>
      <c r="BU33" s="133"/>
      <c r="BV33" s="133"/>
      <c r="BW33" s="133"/>
      <c r="BX33" s="133"/>
      <c r="IR33" s="46">
        <f>BC33*0.835105158611753</f>
        <v>0</v>
      </c>
      <c r="IS33" s="46">
        <f>BC33*(1-0.835105158611753)</f>
        <v>0</v>
      </c>
    </row>
    <row r="34" spans="1:76" ht="12.75">
      <c r="A34" s="132"/>
      <c r="B34" s="133"/>
      <c r="C34" s="133"/>
      <c r="D34" s="133"/>
      <c r="E34" s="133"/>
      <c r="F34" s="133"/>
      <c r="G34" s="133"/>
      <c r="H34" s="133"/>
      <c r="I34" s="133"/>
      <c r="J34" s="133"/>
      <c r="K34" s="133"/>
      <c r="L34" s="141" t="s">
        <v>764</v>
      </c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  <c r="AB34" s="142"/>
      <c r="AC34" s="142"/>
      <c r="AD34" s="142"/>
      <c r="AE34" s="142"/>
      <c r="AF34" s="142"/>
      <c r="AG34" s="142"/>
      <c r="AH34" s="142"/>
      <c r="AI34" s="142"/>
      <c r="AJ34" s="142"/>
      <c r="AK34" s="142"/>
      <c r="AL34" s="142"/>
      <c r="AM34" s="142"/>
      <c r="AN34" s="142"/>
      <c r="AO34" s="142"/>
      <c r="AP34" s="142"/>
      <c r="AQ34" s="142"/>
      <c r="AR34" s="142"/>
      <c r="AS34" s="142"/>
      <c r="AT34" s="142"/>
      <c r="AU34" s="142"/>
      <c r="AV34" s="132"/>
      <c r="AW34" s="133"/>
      <c r="AX34" s="133"/>
      <c r="AY34" s="133"/>
      <c r="AZ34" s="133"/>
      <c r="BA34" s="133"/>
      <c r="BB34" s="133"/>
      <c r="BC34" s="133"/>
      <c r="BD34" s="133"/>
      <c r="BE34" s="133"/>
      <c r="BF34" s="133"/>
      <c r="BG34" s="133"/>
      <c r="BH34" s="133"/>
      <c r="BI34" s="133"/>
      <c r="BJ34" s="133"/>
      <c r="BK34" s="133"/>
      <c r="BL34" s="133"/>
      <c r="BM34" s="133"/>
      <c r="BN34" s="133"/>
      <c r="BO34" s="133"/>
      <c r="BP34" s="133"/>
      <c r="BQ34" s="133"/>
      <c r="BR34" s="133"/>
      <c r="BS34" s="133"/>
      <c r="BT34" s="133"/>
      <c r="BU34" s="133"/>
      <c r="BV34" s="133"/>
      <c r="BW34" s="133"/>
      <c r="BX34" s="133"/>
    </row>
    <row r="35" spans="1:253" ht="12.75">
      <c r="A35" s="132" t="s">
        <v>22</v>
      </c>
      <c r="B35" s="133"/>
      <c r="C35" s="132"/>
      <c r="D35" s="133"/>
      <c r="E35" s="133"/>
      <c r="F35" s="132" t="s">
        <v>395</v>
      </c>
      <c r="G35" s="133"/>
      <c r="H35" s="133"/>
      <c r="I35" s="133"/>
      <c r="J35" s="133"/>
      <c r="K35" s="133"/>
      <c r="L35" s="132" t="s">
        <v>763</v>
      </c>
      <c r="M35" s="133"/>
      <c r="N35" s="133"/>
      <c r="O35" s="133"/>
      <c r="P35" s="133"/>
      <c r="Q35" s="133"/>
      <c r="R35" s="133"/>
      <c r="S35" s="133"/>
      <c r="T35" s="133"/>
      <c r="U35" s="133"/>
      <c r="V35" s="133"/>
      <c r="W35" s="133"/>
      <c r="X35" s="133"/>
      <c r="Y35" s="133"/>
      <c r="Z35" s="133"/>
      <c r="AA35" s="133"/>
      <c r="AB35" s="133"/>
      <c r="AC35" s="133"/>
      <c r="AD35" s="133"/>
      <c r="AE35" s="133"/>
      <c r="AF35" s="133"/>
      <c r="AG35" s="133"/>
      <c r="AH35" s="133"/>
      <c r="AI35" s="133"/>
      <c r="AJ35" s="133"/>
      <c r="AK35" s="133"/>
      <c r="AL35" s="133"/>
      <c r="AM35" s="133"/>
      <c r="AN35" s="133"/>
      <c r="AO35" s="133"/>
      <c r="AP35" s="133"/>
      <c r="AQ35" s="133"/>
      <c r="AR35" s="133"/>
      <c r="AS35" s="133"/>
      <c r="AT35" s="133"/>
      <c r="AU35" s="133"/>
      <c r="AV35" s="132" t="s">
        <v>1153</v>
      </c>
      <c r="AW35" s="133"/>
      <c r="AX35" s="134">
        <f>'Stavební rozpočet'!F36</f>
        <v>6</v>
      </c>
      <c r="AY35" s="135"/>
      <c r="AZ35" s="135"/>
      <c r="BA35" s="135"/>
      <c r="BB35" s="135"/>
      <c r="BC35" s="134">
        <f>'Stavební rozpočet'!G36</f>
        <v>0</v>
      </c>
      <c r="BD35" s="135"/>
      <c r="BE35" s="135"/>
      <c r="BF35" s="135"/>
      <c r="BG35" s="135"/>
      <c r="BH35" s="135"/>
      <c r="BI35" s="135"/>
      <c r="BJ35" s="135"/>
      <c r="BK35" s="134">
        <f>IR35*AX35+IS35*AX35</f>
        <v>0</v>
      </c>
      <c r="BL35" s="135"/>
      <c r="BM35" s="135"/>
      <c r="BN35" s="135"/>
      <c r="BO35" s="135"/>
      <c r="BP35" s="135"/>
      <c r="BQ35" s="135"/>
      <c r="BR35" s="135"/>
      <c r="BS35" s="132" t="s">
        <v>1177</v>
      </c>
      <c r="BT35" s="133"/>
      <c r="BU35" s="133"/>
      <c r="BV35" s="133"/>
      <c r="BW35" s="133"/>
      <c r="BX35" s="133"/>
      <c r="IR35" s="46">
        <f>BC35*0.855331752668307</f>
        <v>0</v>
      </c>
      <c r="IS35" s="46">
        <f>BC35*(1-0.855331752668307)</f>
        <v>0</v>
      </c>
    </row>
    <row r="36" spans="1:76" ht="12.75">
      <c r="A36" s="132"/>
      <c r="B36" s="133"/>
      <c r="C36" s="133"/>
      <c r="D36" s="133"/>
      <c r="E36" s="133"/>
      <c r="F36" s="133"/>
      <c r="G36" s="133"/>
      <c r="H36" s="133"/>
      <c r="I36" s="133"/>
      <c r="J36" s="133"/>
      <c r="K36" s="133"/>
      <c r="L36" s="141" t="s">
        <v>765</v>
      </c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  <c r="AB36" s="142"/>
      <c r="AC36" s="142"/>
      <c r="AD36" s="142"/>
      <c r="AE36" s="142"/>
      <c r="AF36" s="142"/>
      <c r="AG36" s="142"/>
      <c r="AH36" s="142"/>
      <c r="AI36" s="142"/>
      <c r="AJ36" s="142"/>
      <c r="AK36" s="142"/>
      <c r="AL36" s="142"/>
      <c r="AM36" s="142"/>
      <c r="AN36" s="142"/>
      <c r="AO36" s="142"/>
      <c r="AP36" s="142"/>
      <c r="AQ36" s="142"/>
      <c r="AR36" s="142"/>
      <c r="AS36" s="142"/>
      <c r="AT36" s="142"/>
      <c r="AU36" s="142"/>
      <c r="AV36" s="132"/>
      <c r="AW36" s="133"/>
      <c r="AX36" s="133"/>
      <c r="AY36" s="133"/>
      <c r="AZ36" s="133"/>
      <c r="BA36" s="133"/>
      <c r="BB36" s="133"/>
      <c r="BC36" s="133"/>
      <c r="BD36" s="133"/>
      <c r="BE36" s="133"/>
      <c r="BF36" s="133"/>
      <c r="BG36" s="133"/>
      <c r="BH36" s="133"/>
      <c r="BI36" s="133"/>
      <c r="BJ36" s="133"/>
      <c r="BK36" s="133"/>
      <c r="BL36" s="133"/>
      <c r="BM36" s="133"/>
      <c r="BN36" s="133"/>
      <c r="BO36" s="133"/>
      <c r="BP36" s="133"/>
      <c r="BQ36" s="133"/>
      <c r="BR36" s="133"/>
      <c r="BS36" s="133"/>
      <c r="BT36" s="133"/>
      <c r="BU36" s="133"/>
      <c r="BV36" s="133"/>
      <c r="BW36" s="133"/>
      <c r="BX36" s="133"/>
    </row>
    <row r="37" spans="1:253" ht="12.75">
      <c r="A37" s="132" t="s">
        <v>23</v>
      </c>
      <c r="B37" s="133"/>
      <c r="C37" s="132"/>
      <c r="D37" s="133"/>
      <c r="E37" s="133"/>
      <c r="F37" s="132" t="s">
        <v>396</v>
      </c>
      <c r="G37" s="133"/>
      <c r="H37" s="133"/>
      <c r="I37" s="133"/>
      <c r="J37" s="133"/>
      <c r="K37" s="133"/>
      <c r="L37" s="132" t="s">
        <v>766</v>
      </c>
      <c r="M37" s="133"/>
      <c r="N37" s="133"/>
      <c r="O37" s="133"/>
      <c r="P37" s="133"/>
      <c r="Q37" s="133"/>
      <c r="R37" s="133"/>
      <c r="S37" s="133"/>
      <c r="T37" s="133"/>
      <c r="U37" s="133"/>
      <c r="V37" s="133"/>
      <c r="W37" s="133"/>
      <c r="X37" s="133"/>
      <c r="Y37" s="133"/>
      <c r="Z37" s="133"/>
      <c r="AA37" s="133"/>
      <c r="AB37" s="133"/>
      <c r="AC37" s="133"/>
      <c r="AD37" s="133"/>
      <c r="AE37" s="133"/>
      <c r="AF37" s="133"/>
      <c r="AG37" s="133"/>
      <c r="AH37" s="133"/>
      <c r="AI37" s="133"/>
      <c r="AJ37" s="133"/>
      <c r="AK37" s="133"/>
      <c r="AL37" s="133"/>
      <c r="AM37" s="133"/>
      <c r="AN37" s="133"/>
      <c r="AO37" s="133"/>
      <c r="AP37" s="133"/>
      <c r="AQ37" s="133"/>
      <c r="AR37" s="133"/>
      <c r="AS37" s="133"/>
      <c r="AT37" s="133"/>
      <c r="AU37" s="133"/>
      <c r="AV37" s="132" t="s">
        <v>1152</v>
      </c>
      <c r="AW37" s="133"/>
      <c r="AX37" s="134">
        <f>'Stavební rozpočet'!F38</f>
        <v>0.36156</v>
      </c>
      <c r="AY37" s="135"/>
      <c r="AZ37" s="135"/>
      <c r="BA37" s="135"/>
      <c r="BB37" s="135"/>
      <c r="BC37" s="134">
        <f>'Stavební rozpočet'!G38</f>
        <v>0</v>
      </c>
      <c r="BD37" s="135"/>
      <c r="BE37" s="135"/>
      <c r="BF37" s="135"/>
      <c r="BG37" s="135"/>
      <c r="BH37" s="135"/>
      <c r="BI37" s="135"/>
      <c r="BJ37" s="135"/>
      <c r="BK37" s="134">
        <f>IR37*AX37+IS37*AX37</f>
        <v>0</v>
      </c>
      <c r="BL37" s="135"/>
      <c r="BM37" s="135"/>
      <c r="BN37" s="135"/>
      <c r="BO37" s="135"/>
      <c r="BP37" s="135"/>
      <c r="BQ37" s="135"/>
      <c r="BR37" s="135"/>
      <c r="BS37" s="132" t="s">
        <v>1177</v>
      </c>
      <c r="BT37" s="133"/>
      <c r="BU37" s="133"/>
      <c r="BV37" s="133"/>
      <c r="BW37" s="133"/>
      <c r="BX37" s="133"/>
      <c r="IR37" s="46">
        <f>BC37*0.686364936657131</f>
        <v>0</v>
      </c>
      <c r="IS37" s="46">
        <f>BC37*(1-0.686364936657131)</f>
        <v>0</v>
      </c>
    </row>
    <row r="38" spans="1:76" ht="12.75">
      <c r="A38" s="132"/>
      <c r="B38" s="133"/>
      <c r="C38" s="133"/>
      <c r="D38" s="133"/>
      <c r="E38" s="133"/>
      <c r="F38" s="133"/>
      <c r="G38" s="133"/>
      <c r="H38" s="133"/>
      <c r="I38" s="133"/>
      <c r="J38" s="133"/>
      <c r="K38" s="133"/>
      <c r="L38" s="141" t="s">
        <v>767</v>
      </c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  <c r="AB38" s="142"/>
      <c r="AC38" s="142"/>
      <c r="AD38" s="142"/>
      <c r="AE38" s="142"/>
      <c r="AF38" s="142"/>
      <c r="AG38" s="142"/>
      <c r="AH38" s="142"/>
      <c r="AI38" s="142"/>
      <c r="AJ38" s="142"/>
      <c r="AK38" s="142"/>
      <c r="AL38" s="142"/>
      <c r="AM38" s="142"/>
      <c r="AN38" s="142"/>
      <c r="AO38" s="142"/>
      <c r="AP38" s="142"/>
      <c r="AQ38" s="142"/>
      <c r="AR38" s="142"/>
      <c r="AS38" s="142"/>
      <c r="AT38" s="142"/>
      <c r="AU38" s="142"/>
      <c r="AV38" s="132"/>
      <c r="AW38" s="133"/>
      <c r="AX38" s="133"/>
      <c r="AY38" s="133"/>
      <c r="AZ38" s="133"/>
      <c r="BA38" s="133"/>
      <c r="BB38" s="133"/>
      <c r="BC38" s="133"/>
      <c r="BD38" s="133"/>
      <c r="BE38" s="133"/>
      <c r="BF38" s="133"/>
      <c r="BG38" s="133"/>
      <c r="BH38" s="133"/>
      <c r="BI38" s="133"/>
      <c r="BJ38" s="133"/>
      <c r="BK38" s="133"/>
      <c r="BL38" s="133"/>
      <c r="BM38" s="133"/>
      <c r="BN38" s="133"/>
      <c r="BO38" s="133"/>
      <c r="BP38" s="133"/>
      <c r="BQ38" s="133"/>
      <c r="BR38" s="133"/>
      <c r="BS38" s="133"/>
      <c r="BT38" s="133"/>
      <c r="BU38" s="133"/>
      <c r="BV38" s="133"/>
      <c r="BW38" s="133"/>
      <c r="BX38" s="133"/>
    </row>
    <row r="39" spans="1:76" ht="12.75">
      <c r="A39" s="136" t="s">
        <v>6</v>
      </c>
      <c r="B39" s="137"/>
      <c r="C39" s="136" t="s">
        <v>6</v>
      </c>
      <c r="D39" s="137"/>
      <c r="E39" s="137"/>
      <c r="F39" s="136" t="s">
        <v>40</v>
      </c>
      <c r="G39" s="137"/>
      <c r="H39" s="137"/>
      <c r="I39" s="137"/>
      <c r="J39" s="137"/>
      <c r="K39" s="137"/>
      <c r="L39" s="136" t="s">
        <v>768</v>
      </c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6" t="s">
        <v>6</v>
      </c>
      <c r="AW39" s="137"/>
      <c r="AX39" s="138" t="s">
        <v>6</v>
      </c>
      <c r="AY39" s="139"/>
      <c r="AZ39" s="139"/>
      <c r="BA39" s="139"/>
      <c r="BB39" s="139"/>
      <c r="BC39" s="138" t="s">
        <v>6</v>
      </c>
      <c r="BD39" s="139"/>
      <c r="BE39" s="139"/>
      <c r="BF39" s="139"/>
      <c r="BG39" s="139"/>
      <c r="BH39" s="139"/>
      <c r="BI39" s="139"/>
      <c r="BJ39" s="139"/>
      <c r="BK39" s="140">
        <f>SUM(BK40:BK42)</f>
        <v>0</v>
      </c>
      <c r="BL39" s="139"/>
      <c r="BM39" s="139"/>
      <c r="BN39" s="139"/>
      <c r="BO39" s="139"/>
      <c r="BP39" s="139"/>
      <c r="BQ39" s="139"/>
      <c r="BR39" s="139"/>
      <c r="BS39" s="136" t="s">
        <v>6</v>
      </c>
      <c r="BT39" s="137"/>
      <c r="BU39" s="137"/>
      <c r="BV39" s="137"/>
      <c r="BW39" s="137"/>
      <c r="BX39" s="137"/>
    </row>
    <row r="40" spans="1:253" ht="12.75">
      <c r="A40" s="132" t="s">
        <v>24</v>
      </c>
      <c r="B40" s="133"/>
      <c r="C40" s="132"/>
      <c r="D40" s="133"/>
      <c r="E40" s="133"/>
      <c r="F40" s="132" t="s">
        <v>397</v>
      </c>
      <c r="G40" s="133"/>
      <c r="H40" s="133"/>
      <c r="I40" s="133"/>
      <c r="J40" s="133"/>
      <c r="K40" s="133"/>
      <c r="L40" s="132" t="s">
        <v>769</v>
      </c>
      <c r="M40" s="133"/>
      <c r="N40" s="133"/>
      <c r="O40" s="133"/>
      <c r="P40" s="133"/>
      <c r="Q40" s="133"/>
      <c r="R40" s="133"/>
      <c r="S40" s="133"/>
      <c r="T40" s="133"/>
      <c r="U40" s="133"/>
      <c r="V40" s="133"/>
      <c r="W40" s="133"/>
      <c r="X40" s="133"/>
      <c r="Y40" s="133"/>
      <c r="Z40" s="133"/>
      <c r="AA40" s="133"/>
      <c r="AB40" s="133"/>
      <c r="AC40" s="133"/>
      <c r="AD40" s="133"/>
      <c r="AE40" s="133"/>
      <c r="AF40" s="133"/>
      <c r="AG40" s="133"/>
      <c r="AH40" s="133"/>
      <c r="AI40" s="133"/>
      <c r="AJ40" s="133"/>
      <c r="AK40" s="133"/>
      <c r="AL40" s="133"/>
      <c r="AM40" s="133"/>
      <c r="AN40" s="133"/>
      <c r="AO40" s="133"/>
      <c r="AP40" s="133"/>
      <c r="AQ40" s="133"/>
      <c r="AR40" s="133"/>
      <c r="AS40" s="133"/>
      <c r="AT40" s="133"/>
      <c r="AU40" s="133"/>
      <c r="AV40" s="132" t="s">
        <v>1151</v>
      </c>
      <c r="AW40" s="133"/>
      <c r="AX40" s="134">
        <f>'Stavební rozpočet'!F41</f>
        <v>26.3102</v>
      </c>
      <c r="AY40" s="135"/>
      <c r="AZ40" s="135"/>
      <c r="BA40" s="135"/>
      <c r="BB40" s="135"/>
      <c r="BC40" s="134">
        <f>'Stavební rozpočet'!G41</f>
        <v>0</v>
      </c>
      <c r="BD40" s="135"/>
      <c r="BE40" s="135"/>
      <c r="BF40" s="135"/>
      <c r="BG40" s="135"/>
      <c r="BH40" s="135"/>
      <c r="BI40" s="135"/>
      <c r="BJ40" s="135"/>
      <c r="BK40" s="134">
        <f>IR40*AX40+IS40*AX40</f>
        <v>0</v>
      </c>
      <c r="BL40" s="135"/>
      <c r="BM40" s="135"/>
      <c r="BN40" s="135"/>
      <c r="BO40" s="135"/>
      <c r="BP40" s="135"/>
      <c r="BQ40" s="135"/>
      <c r="BR40" s="135"/>
      <c r="BS40" s="132" t="s">
        <v>1177</v>
      </c>
      <c r="BT40" s="133"/>
      <c r="BU40" s="133"/>
      <c r="BV40" s="133"/>
      <c r="BW40" s="133"/>
      <c r="BX40" s="133"/>
      <c r="IR40" s="46">
        <f>BC40*0.63171102661597</f>
        <v>0</v>
      </c>
      <c r="IS40" s="46">
        <f>BC40*(1-0.63171102661597)</f>
        <v>0</v>
      </c>
    </row>
    <row r="41" spans="1:253" ht="12.75">
      <c r="A41" s="132" t="s">
        <v>25</v>
      </c>
      <c r="B41" s="133"/>
      <c r="C41" s="132"/>
      <c r="D41" s="133"/>
      <c r="E41" s="133"/>
      <c r="F41" s="132" t="s">
        <v>398</v>
      </c>
      <c r="G41" s="133"/>
      <c r="H41" s="133"/>
      <c r="I41" s="133"/>
      <c r="J41" s="133"/>
      <c r="K41" s="133"/>
      <c r="L41" s="132" t="s">
        <v>770</v>
      </c>
      <c r="M41" s="133"/>
      <c r="N41" s="133"/>
      <c r="O41" s="133"/>
      <c r="P41" s="133"/>
      <c r="Q41" s="133"/>
      <c r="R41" s="133"/>
      <c r="S41" s="133"/>
      <c r="T41" s="133"/>
      <c r="U41" s="133"/>
      <c r="V41" s="133"/>
      <c r="W41" s="133"/>
      <c r="X41" s="133"/>
      <c r="Y41" s="133"/>
      <c r="Z41" s="133"/>
      <c r="AA41" s="133"/>
      <c r="AB41" s="133"/>
      <c r="AC41" s="133"/>
      <c r="AD41" s="133"/>
      <c r="AE41" s="133"/>
      <c r="AF41" s="133"/>
      <c r="AG41" s="133"/>
      <c r="AH41" s="133"/>
      <c r="AI41" s="133"/>
      <c r="AJ41" s="133"/>
      <c r="AK41" s="133"/>
      <c r="AL41" s="133"/>
      <c r="AM41" s="133"/>
      <c r="AN41" s="133"/>
      <c r="AO41" s="133"/>
      <c r="AP41" s="133"/>
      <c r="AQ41" s="133"/>
      <c r="AR41" s="133"/>
      <c r="AS41" s="133"/>
      <c r="AT41" s="133"/>
      <c r="AU41" s="133"/>
      <c r="AV41" s="132" t="s">
        <v>1151</v>
      </c>
      <c r="AW41" s="133"/>
      <c r="AX41" s="134">
        <f>'Stavební rozpočet'!F42</f>
        <v>9.68</v>
      </c>
      <c r="AY41" s="135"/>
      <c r="AZ41" s="135"/>
      <c r="BA41" s="135"/>
      <c r="BB41" s="135"/>
      <c r="BC41" s="134">
        <f>'Stavební rozpočet'!G42</f>
        <v>0</v>
      </c>
      <c r="BD41" s="135"/>
      <c r="BE41" s="135"/>
      <c r="BF41" s="135"/>
      <c r="BG41" s="135"/>
      <c r="BH41" s="135"/>
      <c r="BI41" s="135"/>
      <c r="BJ41" s="135"/>
      <c r="BK41" s="134">
        <f>IR41*AX41+IS41*AX41</f>
        <v>0</v>
      </c>
      <c r="BL41" s="135"/>
      <c r="BM41" s="135"/>
      <c r="BN41" s="135"/>
      <c r="BO41" s="135"/>
      <c r="BP41" s="135"/>
      <c r="BQ41" s="135"/>
      <c r="BR41" s="135"/>
      <c r="BS41" s="132" t="s">
        <v>1177</v>
      </c>
      <c r="BT41" s="133"/>
      <c r="BU41" s="133"/>
      <c r="BV41" s="133"/>
      <c r="BW41" s="133"/>
      <c r="BX41" s="133"/>
      <c r="IR41" s="46">
        <f>BC41*0.70315838365072</f>
        <v>0</v>
      </c>
      <c r="IS41" s="46">
        <f>BC41*(1-0.70315838365072)</f>
        <v>0</v>
      </c>
    </row>
    <row r="42" spans="1:253" ht="12.75">
      <c r="A42" s="132" t="s">
        <v>26</v>
      </c>
      <c r="B42" s="133"/>
      <c r="C42" s="132"/>
      <c r="D42" s="133"/>
      <c r="E42" s="133"/>
      <c r="F42" s="132" t="s">
        <v>399</v>
      </c>
      <c r="G42" s="133"/>
      <c r="H42" s="133"/>
      <c r="I42" s="133"/>
      <c r="J42" s="133"/>
      <c r="K42" s="133"/>
      <c r="L42" s="132" t="s">
        <v>771</v>
      </c>
      <c r="M42" s="133"/>
      <c r="N42" s="133"/>
      <c r="O42" s="133"/>
      <c r="P42" s="133"/>
      <c r="Q42" s="133"/>
      <c r="R42" s="133"/>
      <c r="S42" s="133"/>
      <c r="T42" s="133"/>
      <c r="U42" s="133"/>
      <c r="V42" s="133"/>
      <c r="W42" s="133"/>
      <c r="X42" s="133"/>
      <c r="Y42" s="133"/>
      <c r="Z42" s="133"/>
      <c r="AA42" s="133"/>
      <c r="AB42" s="133"/>
      <c r="AC42" s="133"/>
      <c r="AD42" s="133"/>
      <c r="AE42" s="133"/>
      <c r="AF42" s="133"/>
      <c r="AG42" s="133"/>
      <c r="AH42" s="133"/>
      <c r="AI42" s="133"/>
      <c r="AJ42" s="133"/>
      <c r="AK42" s="133"/>
      <c r="AL42" s="133"/>
      <c r="AM42" s="133"/>
      <c r="AN42" s="133"/>
      <c r="AO42" s="133"/>
      <c r="AP42" s="133"/>
      <c r="AQ42" s="133"/>
      <c r="AR42" s="133"/>
      <c r="AS42" s="133"/>
      <c r="AT42" s="133"/>
      <c r="AU42" s="133"/>
      <c r="AV42" s="132" t="s">
        <v>1151</v>
      </c>
      <c r="AW42" s="133"/>
      <c r="AX42" s="134">
        <f>'Stavební rozpočet'!F43</f>
        <v>15.66</v>
      </c>
      <c r="AY42" s="135"/>
      <c r="AZ42" s="135"/>
      <c r="BA42" s="135"/>
      <c r="BB42" s="135"/>
      <c r="BC42" s="134">
        <f>'Stavební rozpočet'!G43</f>
        <v>0</v>
      </c>
      <c r="BD42" s="135"/>
      <c r="BE42" s="135"/>
      <c r="BF42" s="135"/>
      <c r="BG42" s="135"/>
      <c r="BH42" s="135"/>
      <c r="BI42" s="135"/>
      <c r="BJ42" s="135"/>
      <c r="BK42" s="134">
        <f>IR42*AX42+IS42*AX42</f>
        <v>0</v>
      </c>
      <c r="BL42" s="135"/>
      <c r="BM42" s="135"/>
      <c r="BN42" s="135"/>
      <c r="BO42" s="135"/>
      <c r="BP42" s="135"/>
      <c r="BQ42" s="135"/>
      <c r="BR42" s="135"/>
      <c r="BS42" s="132" t="s">
        <v>1177</v>
      </c>
      <c r="BT42" s="133"/>
      <c r="BU42" s="133"/>
      <c r="BV42" s="133"/>
      <c r="BW42" s="133"/>
      <c r="BX42" s="133"/>
      <c r="IR42" s="46">
        <f>BC42*0.70315838365072</f>
        <v>0</v>
      </c>
      <c r="IS42" s="46">
        <f>BC42*(1-0.70315838365072)</f>
        <v>0</v>
      </c>
    </row>
    <row r="43" spans="1:76" ht="12.75">
      <c r="A43" s="136" t="s">
        <v>6</v>
      </c>
      <c r="B43" s="137"/>
      <c r="C43" s="136" t="s">
        <v>6</v>
      </c>
      <c r="D43" s="137"/>
      <c r="E43" s="137"/>
      <c r="F43" s="136" t="s">
        <v>47</v>
      </c>
      <c r="G43" s="137"/>
      <c r="H43" s="137"/>
      <c r="I43" s="137"/>
      <c r="J43" s="137"/>
      <c r="K43" s="137"/>
      <c r="L43" s="136" t="s">
        <v>772</v>
      </c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6" t="s">
        <v>6</v>
      </c>
      <c r="AW43" s="137"/>
      <c r="AX43" s="138" t="s">
        <v>6</v>
      </c>
      <c r="AY43" s="139"/>
      <c r="AZ43" s="139"/>
      <c r="BA43" s="139"/>
      <c r="BB43" s="139"/>
      <c r="BC43" s="138" t="s">
        <v>6</v>
      </c>
      <c r="BD43" s="139"/>
      <c r="BE43" s="139"/>
      <c r="BF43" s="139"/>
      <c r="BG43" s="139"/>
      <c r="BH43" s="139"/>
      <c r="BI43" s="139"/>
      <c r="BJ43" s="139"/>
      <c r="BK43" s="140">
        <f>SUM(BK44:BK49)</f>
        <v>0</v>
      </c>
      <c r="BL43" s="139"/>
      <c r="BM43" s="139"/>
      <c r="BN43" s="139"/>
      <c r="BO43" s="139"/>
      <c r="BP43" s="139"/>
      <c r="BQ43" s="139"/>
      <c r="BR43" s="139"/>
      <c r="BS43" s="136" t="s">
        <v>6</v>
      </c>
      <c r="BT43" s="137"/>
      <c r="BU43" s="137"/>
      <c r="BV43" s="137"/>
      <c r="BW43" s="137"/>
      <c r="BX43" s="137"/>
    </row>
    <row r="44" spans="1:253" ht="12.75">
      <c r="A44" s="132" t="s">
        <v>27</v>
      </c>
      <c r="B44" s="133"/>
      <c r="C44" s="132"/>
      <c r="D44" s="133"/>
      <c r="E44" s="133"/>
      <c r="F44" s="132" t="s">
        <v>400</v>
      </c>
      <c r="G44" s="133"/>
      <c r="H44" s="133"/>
      <c r="I44" s="133"/>
      <c r="J44" s="133"/>
      <c r="K44" s="133"/>
      <c r="L44" s="132" t="s">
        <v>773</v>
      </c>
      <c r="M44" s="133"/>
      <c r="N44" s="133"/>
      <c r="O44" s="133"/>
      <c r="P44" s="133"/>
      <c r="Q44" s="133"/>
      <c r="R44" s="133"/>
      <c r="S44" s="133"/>
      <c r="T44" s="133"/>
      <c r="U44" s="133"/>
      <c r="V44" s="133"/>
      <c r="W44" s="133"/>
      <c r="X44" s="133"/>
      <c r="Y44" s="133"/>
      <c r="Z44" s="133"/>
      <c r="AA44" s="133"/>
      <c r="AB44" s="133"/>
      <c r="AC44" s="133"/>
      <c r="AD44" s="133"/>
      <c r="AE44" s="133"/>
      <c r="AF44" s="133"/>
      <c r="AG44" s="133"/>
      <c r="AH44" s="133"/>
      <c r="AI44" s="133"/>
      <c r="AJ44" s="133"/>
      <c r="AK44" s="133"/>
      <c r="AL44" s="133"/>
      <c r="AM44" s="133"/>
      <c r="AN44" s="133"/>
      <c r="AO44" s="133"/>
      <c r="AP44" s="133"/>
      <c r="AQ44" s="133"/>
      <c r="AR44" s="133"/>
      <c r="AS44" s="133"/>
      <c r="AT44" s="133"/>
      <c r="AU44" s="133"/>
      <c r="AV44" s="132" t="s">
        <v>1151</v>
      </c>
      <c r="AW44" s="133"/>
      <c r="AX44" s="134">
        <f>'Stavební rozpočet'!F45</f>
        <v>42.834</v>
      </c>
      <c r="AY44" s="135"/>
      <c r="AZ44" s="135"/>
      <c r="BA44" s="135"/>
      <c r="BB44" s="135"/>
      <c r="BC44" s="134">
        <f>'Stavební rozpočet'!G45</f>
        <v>0</v>
      </c>
      <c r="BD44" s="135"/>
      <c r="BE44" s="135"/>
      <c r="BF44" s="135"/>
      <c r="BG44" s="135"/>
      <c r="BH44" s="135"/>
      <c r="BI44" s="135"/>
      <c r="BJ44" s="135"/>
      <c r="BK44" s="134">
        <f>IR44*AX44+IS44*AX44</f>
        <v>0</v>
      </c>
      <c r="BL44" s="135"/>
      <c r="BM44" s="135"/>
      <c r="BN44" s="135"/>
      <c r="BO44" s="135"/>
      <c r="BP44" s="135"/>
      <c r="BQ44" s="135"/>
      <c r="BR44" s="135"/>
      <c r="BS44" s="132" t="s">
        <v>1177</v>
      </c>
      <c r="BT44" s="133"/>
      <c r="BU44" s="133"/>
      <c r="BV44" s="133"/>
      <c r="BW44" s="133"/>
      <c r="BX44" s="133"/>
      <c r="IR44" s="46">
        <f>BC44*0.360477568740955</f>
        <v>0</v>
      </c>
      <c r="IS44" s="46">
        <f>BC44*(1-0.360477568740955)</f>
        <v>0</v>
      </c>
    </row>
    <row r="45" spans="1:76" ht="12.75">
      <c r="A45" s="132"/>
      <c r="B45" s="133"/>
      <c r="C45" s="133"/>
      <c r="D45" s="133"/>
      <c r="E45" s="133"/>
      <c r="F45" s="133"/>
      <c r="G45" s="133"/>
      <c r="H45" s="133"/>
      <c r="I45" s="133"/>
      <c r="J45" s="133"/>
      <c r="K45" s="133"/>
      <c r="L45" s="141" t="s">
        <v>774</v>
      </c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  <c r="AB45" s="142"/>
      <c r="AC45" s="142"/>
      <c r="AD45" s="142"/>
      <c r="AE45" s="142"/>
      <c r="AF45" s="142"/>
      <c r="AG45" s="142"/>
      <c r="AH45" s="142"/>
      <c r="AI45" s="142"/>
      <c r="AJ45" s="142"/>
      <c r="AK45" s="142"/>
      <c r="AL45" s="142"/>
      <c r="AM45" s="142"/>
      <c r="AN45" s="142"/>
      <c r="AO45" s="142"/>
      <c r="AP45" s="142"/>
      <c r="AQ45" s="142"/>
      <c r="AR45" s="142"/>
      <c r="AS45" s="142"/>
      <c r="AT45" s="142"/>
      <c r="AU45" s="142"/>
      <c r="AV45" s="132"/>
      <c r="AW45" s="133"/>
      <c r="AX45" s="133"/>
      <c r="AY45" s="133"/>
      <c r="AZ45" s="133"/>
      <c r="BA45" s="133"/>
      <c r="BB45" s="133"/>
      <c r="BC45" s="133"/>
      <c r="BD45" s="133"/>
      <c r="BE45" s="133"/>
      <c r="BF45" s="133"/>
      <c r="BG45" s="133"/>
      <c r="BH45" s="133"/>
      <c r="BI45" s="133"/>
      <c r="BJ45" s="133"/>
      <c r="BK45" s="133"/>
      <c r="BL45" s="133"/>
      <c r="BM45" s="133"/>
      <c r="BN45" s="133"/>
      <c r="BO45" s="133"/>
      <c r="BP45" s="133"/>
      <c r="BQ45" s="133"/>
      <c r="BR45" s="133"/>
      <c r="BS45" s="133"/>
      <c r="BT45" s="133"/>
      <c r="BU45" s="133"/>
      <c r="BV45" s="133"/>
      <c r="BW45" s="133"/>
      <c r="BX45" s="133"/>
    </row>
    <row r="46" spans="1:253" ht="12.75">
      <c r="A46" s="132" t="s">
        <v>28</v>
      </c>
      <c r="B46" s="133"/>
      <c r="C46" s="132"/>
      <c r="D46" s="133"/>
      <c r="E46" s="133"/>
      <c r="F46" s="132" t="s">
        <v>401</v>
      </c>
      <c r="G46" s="133"/>
      <c r="H46" s="133"/>
      <c r="I46" s="133"/>
      <c r="J46" s="133"/>
      <c r="K46" s="133"/>
      <c r="L46" s="132" t="s">
        <v>775</v>
      </c>
      <c r="M46" s="133"/>
      <c r="N46" s="133"/>
      <c r="O46" s="133"/>
      <c r="P46" s="133"/>
      <c r="Q46" s="133"/>
      <c r="R46" s="133"/>
      <c r="S46" s="133"/>
      <c r="T46" s="133"/>
      <c r="U46" s="133"/>
      <c r="V46" s="133"/>
      <c r="W46" s="133"/>
      <c r="X46" s="133"/>
      <c r="Y46" s="133"/>
      <c r="Z46" s="133"/>
      <c r="AA46" s="133"/>
      <c r="AB46" s="133"/>
      <c r="AC46" s="133"/>
      <c r="AD46" s="133"/>
      <c r="AE46" s="133"/>
      <c r="AF46" s="133"/>
      <c r="AG46" s="133"/>
      <c r="AH46" s="133"/>
      <c r="AI46" s="133"/>
      <c r="AJ46" s="133"/>
      <c r="AK46" s="133"/>
      <c r="AL46" s="133"/>
      <c r="AM46" s="133"/>
      <c r="AN46" s="133"/>
      <c r="AO46" s="133"/>
      <c r="AP46" s="133"/>
      <c r="AQ46" s="133"/>
      <c r="AR46" s="133"/>
      <c r="AS46" s="133"/>
      <c r="AT46" s="133"/>
      <c r="AU46" s="133"/>
      <c r="AV46" s="132" t="s">
        <v>1150</v>
      </c>
      <c r="AW46" s="133"/>
      <c r="AX46" s="134">
        <f>'Stavební rozpočet'!F47</f>
        <v>1.4126</v>
      </c>
      <c r="AY46" s="135"/>
      <c r="AZ46" s="135"/>
      <c r="BA46" s="135"/>
      <c r="BB46" s="135"/>
      <c r="BC46" s="134">
        <f>'Stavební rozpočet'!G47</f>
        <v>0</v>
      </c>
      <c r="BD46" s="135"/>
      <c r="BE46" s="135"/>
      <c r="BF46" s="135"/>
      <c r="BG46" s="135"/>
      <c r="BH46" s="135"/>
      <c r="BI46" s="135"/>
      <c r="BJ46" s="135"/>
      <c r="BK46" s="134">
        <f>IR46*AX46+IS46*AX46</f>
        <v>0</v>
      </c>
      <c r="BL46" s="135"/>
      <c r="BM46" s="135"/>
      <c r="BN46" s="135"/>
      <c r="BO46" s="135"/>
      <c r="BP46" s="135"/>
      <c r="BQ46" s="135"/>
      <c r="BR46" s="135"/>
      <c r="BS46" s="132" t="s">
        <v>1177</v>
      </c>
      <c r="BT46" s="133"/>
      <c r="BU46" s="133"/>
      <c r="BV46" s="133"/>
      <c r="BW46" s="133"/>
      <c r="BX46" s="133"/>
      <c r="IR46" s="46">
        <f>BC46*0.807061818181818</f>
        <v>0</v>
      </c>
      <c r="IS46" s="46">
        <f>BC46*(1-0.807061818181818)</f>
        <v>0</v>
      </c>
    </row>
    <row r="47" spans="1:253" ht="12.75">
      <c r="A47" s="132" t="s">
        <v>29</v>
      </c>
      <c r="B47" s="133"/>
      <c r="C47" s="132"/>
      <c r="D47" s="133"/>
      <c r="E47" s="133"/>
      <c r="F47" s="132" t="s">
        <v>402</v>
      </c>
      <c r="G47" s="133"/>
      <c r="H47" s="133"/>
      <c r="I47" s="133"/>
      <c r="J47" s="133"/>
      <c r="K47" s="133"/>
      <c r="L47" s="132" t="s">
        <v>776</v>
      </c>
      <c r="M47" s="133"/>
      <c r="N47" s="133"/>
      <c r="O47" s="133"/>
      <c r="P47" s="133"/>
      <c r="Q47" s="133"/>
      <c r="R47" s="133"/>
      <c r="S47" s="133"/>
      <c r="T47" s="133"/>
      <c r="U47" s="133"/>
      <c r="V47" s="133"/>
      <c r="W47" s="133"/>
      <c r="X47" s="133"/>
      <c r="Y47" s="133"/>
      <c r="Z47" s="133"/>
      <c r="AA47" s="133"/>
      <c r="AB47" s="133"/>
      <c r="AC47" s="133"/>
      <c r="AD47" s="133"/>
      <c r="AE47" s="133"/>
      <c r="AF47" s="133"/>
      <c r="AG47" s="133"/>
      <c r="AH47" s="133"/>
      <c r="AI47" s="133"/>
      <c r="AJ47" s="133"/>
      <c r="AK47" s="133"/>
      <c r="AL47" s="133"/>
      <c r="AM47" s="133"/>
      <c r="AN47" s="133"/>
      <c r="AO47" s="133"/>
      <c r="AP47" s="133"/>
      <c r="AQ47" s="133"/>
      <c r="AR47" s="133"/>
      <c r="AS47" s="133"/>
      <c r="AT47" s="133"/>
      <c r="AU47" s="133"/>
      <c r="AV47" s="132" t="s">
        <v>1154</v>
      </c>
      <c r="AW47" s="133"/>
      <c r="AX47" s="134">
        <f>'Stavební rozpočet'!F48</f>
        <v>28.252</v>
      </c>
      <c r="AY47" s="135"/>
      <c r="AZ47" s="135"/>
      <c r="BA47" s="135"/>
      <c r="BB47" s="135"/>
      <c r="BC47" s="134">
        <f>'Stavební rozpočet'!G48</f>
        <v>0</v>
      </c>
      <c r="BD47" s="135"/>
      <c r="BE47" s="135"/>
      <c r="BF47" s="135"/>
      <c r="BG47" s="135"/>
      <c r="BH47" s="135"/>
      <c r="BI47" s="135"/>
      <c r="BJ47" s="135"/>
      <c r="BK47" s="134">
        <f>IR47*AX47+IS47*AX47</f>
        <v>0</v>
      </c>
      <c r="BL47" s="135"/>
      <c r="BM47" s="135"/>
      <c r="BN47" s="135"/>
      <c r="BO47" s="135"/>
      <c r="BP47" s="135"/>
      <c r="BQ47" s="135"/>
      <c r="BR47" s="135"/>
      <c r="BS47" s="132" t="s">
        <v>1177</v>
      </c>
      <c r="BT47" s="133"/>
      <c r="BU47" s="133"/>
      <c r="BV47" s="133"/>
      <c r="BW47" s="133"/>
      <c r="BX47" s="133"/>
      <c r="IR47" s="46">
        <f>BC47*0.296293577981651</f>
        <v>0</v>
      </c>
      <c r="IS47" s="46">
        <f>BC47*(1-0.296293577981651)</f>
        <v>0</v>
      </c>
    </row>
    <row r="48" spans="1:253" ht="12.75">
      <c r="A48" s="132" t="s">
        <v>30</v>
      </c>
      <c r="B48" s="133"/>
      <c r="C48" s="132"/>
      <c r="D48" s="133"/>
      <c r="E48" s="133"/>
      <c r="F48" s="132" t="s">
        <v>403</v>
      </c>
      <c r="G48" s="133"/>
      <c r="H48" s="133"/>
      <c r="I48" s="133"/>
      <c r="J48" s="133"/>
      <c r="K48" s="133"/>
      <c r="L48" s="132" t="s">
        <v>777</v>
      </c>
      <c r="M48" s="133"/>
      <c r="N48" s="133"/>
      <c r="O48" s="133"/>
      <c r="P48" s="133"/>
      <c r="Q48" s="133"/>
      <c r="R48" s="133"/>
      <c r="S48" s="133"/>
      <c r="T48" s="133"/>
      <c r="U48" s="133"/>
      <c r="V48" s="133"/>
      <c r="W48" s="133"/>
      <c r="X48" s="133"/>
      <c r="Y48" s="133"/>
      <c r="Z48" s="133"/>
      <c r="AA48" s="133"/>
      <c r="AB48" s="133"/>
      <c r="AC48" s="133"/>
      <c r="AD48" s="133"/>
      <c r="AE48" s="133"/>
      <c r="AF48" s="133"/>
      <c r="AG48" s="133"/>
      <c r="AH48" s="133"/>
      <c r="AI48" s="133"/>
      <c r="AJ48" s="133"/>
      <c r="AK48" s="133"/>
      <c r="AL48" s="133"/>
      <c r="AM48" s="133"/>
      <c r="AN48" s="133"/>
      <c r="AO48" s="133"/>
      <c r="AP48" s="133"/>
      <c r="AQ48" s="133"/>
      <c r="AR48" s="133"/>
      <c r="AS48" s="133"/>
      <c r="AT48" s="133"/>
      <c r="AU48" s="133"/>
      <c r="AV48" s="132" t="s">
        <v>1151</v>
      </c>
      <c r="AW48" s="133"/>
      <c r="AX48" s="134">
        <f>'Stavební rozpočet'!F49</f>
        <v>28.252</v>
      </c>
      <c r="AY48" s="135"/>
      <c r="AZ48" s="135"/>
      <c r="BA48" s="135"/>
      <c r="BB48" s="135"/>
      <c r="BC48" s="134">
        <f>'Stavební rozpočet'!G49</f>
        <v>0</v>
      </c>
      <c r="BD48" s="135"/>
      <c r="BE48" s="135"/>
      <c r="BF48" s="135"/>
      <c r="BG48" s="135"/>
      <c r="BH48" s="135"/>
      <c r="BI48" s="135"/>
      <c r="BJ48" s="135"/>
      <c r="BK48" s="134">
        <f>IR48*AX48+IS48*AX48</f>
        <v>0</v>
      </c>
      <c r="BL48" s="135"/>
      <c r="BM48" s="135"/>
      <c r="BN48" s="135"/>
      <c r="BO48" s="135"/>
      <c r="BP48" s="135"/>
      <c r="BQ48" s="135"/>
      <c r="BR48" s="135"/>
      <c r="BS48" s="132" t="s">
        <v>1177</v>
      </c>
      <c r="BT48" s="133"/>
      <c r="BU48" s="133"/>
      <c r="BV48" s="133"/>
      <c r="BW48" s="133"/>
      <c r="BX48" s="133"/>
      <c r="IR48" s="46">
        <f>BC48*0</f>
        <v>0</v>
      </c>
      <c r="IS48" s="46">
        <f>BC48*(1-0)</f>
        <v>0</v>
      </c>
    </row>
    <row r="49" spans="1:253" ht="12.75">
      <c r="A49" s="132" t="s">
        <v>31</v>
      </c>
      <c r="B49" s="133"/>
      <c r="C49" s="132"/>
      <c r="D49" s="133"/>
      <c r="E49" s="133"/>
      <c r="F49" s="132" t="s">
        <v>404</v>
      </c>
      <c r="G49" s="133"/>
      <c r="H49" s="133"/>
      <c r="I49" s="133"/>
      <c r="J49" s="133"/>
      <c r="K49" s="133"/>
      <c r="L49" s="132" t="s">
        <v>778</v>
      </c>
      <c r="M49" s="133"/>
      <c r="N49" s="133"/>
      <c r="O49" s="133"/>
      <c r="P49" s="133"/>
      <c r="Q49" s="133"/>
      <c r="R49" s="133"/>
      <c r="S49" s="133"/>
      <c r="T49" s="133"/>
      <c r="U49" s="133"/>
      <c r="V49" s="133"/>
      <c r="W49" s="133"/>
      <c r="X49" s="133"/>
      <c r="Y49" s="133"/>
      <c r="Z49" s="133"/>
      <c r="AA49" s="133"/>
      <c r="AB49" s="133"/>
      <c r="AC49" s="133"/>
      <c r="AD49" s="133"/>
      <c r="AE49" s="133"/>
      <c r="AF49" s="133"/>
      <c r="AG49" s="133"/>
      <c r="AH49" s="133"/>
      <c r="AI49" s="133"/>
      <c r="AJ49" s="133"/>
      <c r="AK49" s="133"/>
      <c r="AL49" s="133"/>
      <c r="AM49" s="133"/>
      <c r="AN49" s="133"/>
      <c r="AO49" s="133"/>
      <c r="AP49" s="133"/>
      <c r="AQ49" s="133"/>
      <c r="AR49" s="133"/>
      <c r="AS49" s="133"/>
      <c r="AT49" s="133"/>
      <c r="AU49" s="133"/>
      <c r="AV49" s="132" t="s">
        <v>1152</v>
      </c>
      <c r="AW49" s="133"/>
      <c r="AX49" s="134">
        <f>'Stavební rozpočet'!F50</f>
        <v>0.03532</v>
      </c>
      <c r="AY49" s="135"/>
      <c r="AZ49" s="135"/>
      <c r="BA49" s="135"/>
      <c r="BB49" s="135"/>
      <c r="BC49" s="134">
        <f>'Stavební rozpočet'!G50</f>
        <v>0</v>
      </c>
      <c r="BD49" s="135"/>
      <c r="BE49" s="135"/>
      <c r="BF49" s="135"/>
      <c r="BG49" s="135"/>
      <c r="BH49" s="135"/>
      <c r="BI49" s="135"/>
      <c r="BJ49" s="135"/>
      <c r="BK49" s="134">
        <f>IR49*AX49+IS49*AX49</f>
        <v>0</v>
      </c>
      <c r="BL49" s="135"/>
      <c r="BM49" s="135"/>
      <c r="BN49" s="135"/>
      <c r="BO49" s="135"/>
      <c r="BP49" s="135"/>
      <c r="BQ49" s="135"/>
      <c r="BR49" s="135"/>
      <c r="BS49" s="132" t="s">
        <v>1177</v>
      </c>
      <c r="BT49" s="133"/>
      <c r="BU49" s="133"/>
      <c r="BV49" s="133"/>
      <c r="BW49" s="133"/>
      <c r="BX49" s="133"/>
      <c r="IR49" s="46">
        <f>BC49*0.649657904479822</f>
        <v>0</v>
      </c>
      <c r="IS49" s="46">
        <f>BC49*(1-0.649657904479822)</f>
        <v>0</v>
      </c>
    </row>
    <row r="50" spans="1:76" ht="12.75">
      <c r="A50" s="136" t="s">
        <v>6</v>
      </c>
      <c r="B50" s="137"/>
      <c r="C50" s="136" t="s">
        <v>6</v>
      </c>
      <c r="D50" s="137"/>
      <c r="E50" s="137"/>
      <c r="F50" s="136" t="s">
        <v>49</v>
      </c>
      <c r="G50" s="137"/>
      <c r="H50" s="137"/>
      <c r="I50" s="137"/>
      <c r="J50" s="137"/>
      <c r="K50" s="137"/>
      <c r="L50" s="136" t="s">
        <v>779</v>
      </c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6" t="s">
        <v>6</v>
      </c>
      <c r="AW50" s="137"/>
      <c r="AX50" s="138" t="s">
        <v>6</v>
      </c>
      <c r="AY50" s="139"/>
      <c r="AZ50" s="139"/>
      <c r="BA50" s="139"/>
      <c r="BB50" s="139"/>
      <c r="BC50" s="138" t="s">
        <v>6</v>
      </c>
      <c r="BD50" s="139"/>
      <c r="BE50" s="139"/>
      <c r="BF50" s="139"/>
      <c r="BG50" s="139"/>
      <c r="BH50" s="139"/>
      <c r="BI50" s="139"/>
      <c r="BJ50" s="139"/>
      <c r="BK50" s="140">
        <f>SUM(BK51:BK53)</f>
        <v>0</v>
      </c>
      <c r="BL50" s="139"/>
      <c r="BM50" s="139"/>
      <c r="BN50" s="139"/>
      <c r="BO50" s="139"/>
      <c r="BP50" s="139"/>
      <c r="BQ50" s="139"/>
      <c r="BR50" s="139"/>
      <c r="BS50" s="136" t="s">
        <v>6</v>
      </c>
      <c r="BT50" s="137"/>
      <c r="BU50" s="137"/>
      <c r="BV50" s="137"/>
      <c r="BW50" s="137"/>
      <c r="BX50" s="137"/>
    </row>
    <row r="51" spans="1:253" ht="12.75">
      <c r="A51" s="132" t="s">
        <v>32</v>
      </c>
      <c r="B51" s="133"/>
      <c r="C51" s="132"/>
      <c r="D51" s="133"/>
      <c r="E51" s="133"/>
      <c r="F51" s="132" t="s">
        <v>405</v>
      </c>
      <c r="G51" s="133"/>
      <c r="H51" s="133"/>
      <c r="I51" s="133"/>
      <c r="J51" s="133"/>
      <c r="K51" s="133"/>
      <c r="L51" s="132" t="s">
        <v>780</v>
      </c>
      <c r="M51" s="133"/>
      <c r="N51" s="133"/>
      <c r="O51" s="133"/>
      <c r="P51" s="133"/>
      <c r="Q51" s="133"/>
      <c r="R51" s="133"/>
      <c r="S51" s="133"/>
      <c r="T51" s="133"/>
      <c r="U51" s="133"/>
      <c r="V51" s="133"/>
      <c r="W51" s="133"/>
      <c r="X51" s="133"/>
      <c r="Y51" s="133"/>
      <c r="Z51" s="133"/>
      <c r="AA51" s="133"/>
      <c r="AB51" s="133"/>
      <c r="AC51" s="133"/>
      <c r="AD51" s="133"/>
      <c r="AE51" s="133"/>
      <c r="AF51" s="133"/>
      <c r="AG51" s="133"/>
      <c r="AH51" s="133"/>
      <c r="AI51" s="133"/>
      <c r="AJ51" s="133"/>
      <c r="AK51" s="133"/>
      <c r="AL51" s="133"/>
      <c r="AM51" s="133"/>
      <c r="AN51" s="133"/>
      <c r="AO51" s="133"/>
      <c r="AP51" s="133"/>
      <c r="AQ51" s="133"/>
      <c r="AR51" s="133"/>
      <c r="AS51" s="133"/>
      <c r="AT51" s="133"/>
      <c r="AU51" s="133"/>
      <c r="AV51" s="132" t="s">
        <v>1154</v>
      </c>
      <c r="AW51" s="133"/>
      <c r="AX51" s="134">
        <f>'Stavební rozpočet'!F52</f>
        <v>12.04</v>
      </c>
      <c r="AY51" s="135"/>
      <c r="AZ51" s="135"/>
      <c r="BA51" s="135"/>
      <c r="BB51" s="135"/>
      <c r="BC51" s="134">
        <f>'Stavební rozpočet'!G52</f>
        <v>0</v>
      </c>
      <c r="BD51" s="135"/>
      <c r="BE51" s="135"/>
      <c r="BF51" s="135"/>
      <c r="BG51" s="135"/>
      <c r="BH51" s="135"/>
      <c r="BI51" s="135"/>
      <c r="BJ51" s="135"/>
      <c r="BK51" s="134">
        <f>IR51*AX51+IS51*AX51</f>
        <v>0</v>
      </c>
      <c r="BL51" s="135"/>
      <c r="BM51" s="135"/>
      <c r="BN51" s="135"/>
      <c r="BO51" s="135"/>
      <c r="BP51" s="135"/>
      <c r="BQ51" s="135"/>
      <c r="BR51" s="135"/>
      <c r="BS51" s="132" t="s">
        <v>1177</v>
      </c>
      <c r="BT51" s="133"/>
      <c r="BU51" s="133"/>
      <c r="BV51" s="133"/>
      <c r="BW51" s="133"/>
      <c r="BX51" s="133"/>
      <c r="IR51" s="46">
        <f>BC51*0.335148698884758</f>
        <v>0</v>
      </c>
      <c r="IS51" s="46">
        <f>BC51*(1-0.335148698884758)</f>
        <v>0</v>
      </c>
    </row>
    <row r="52" spans="1:76" ht="12.75">
      <c r="A52" s="132"/>
      <c r="B52" s="133"/>
      <c r="C52" s="133"/>
      <c r="D52" s="133"/>
      <c r="E52" s="133"/>
      <c r="F52" s="133"/>
      <c r="G52" s="133"/>
      <c r="H52" s="133"/>
      <c r="I52" s="133"/>
      <c r="J52" s="133"/>
      <c r="K52" s="133"/>
      <c r="L52" s="141" t="s">
        <v>781</v>
      </c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  <c r="AB52" s="142"/>
      <c r="AC52" s="142"/>
      <c r="AD52" s="142"/>
      <c r="AE52" s="142"/>
      <c r="AF52" s="142"/>
      <c r="AG52" s="142"/>
      <c r="AH52" s="142"/>
      <c r="AI52" s="142"/>
      <c r="AJ52" s="142"/>
      <c r="AK52" s="142"/>
      <c r="AL52" s="142"/>
      <c r="AM52" s="142"/>
      <c r="AN52" s="142"/>
      <c r="AO52" s="142"/>
      <c r="AP52" s="142"/>
      <c r="AQ52" s="142"/>
      <c r="AR52" s="142"/>
      <c r="AS52" s="142"/>
      <c r="AT52" s="142"/>
      <c r="AU52" s="142"/>
      <c r="AV52" s="132"/>
      <c r="AW52" s="133"/>
      <c r="AX52" s="133"/>
      <c r="AY52" s="133"/>
      <c r="AZ52" s="133"/>
      <c r="BA52" s="133"/>
      <c r="BB52" s="133"/>
      <c r="BC52" s="133"/>
      <c r="BD52" s="133"/>
      <c r="BE52" s="133"/>
      <c r="BF52" s="133"/>
      <c r="BG52" s="133"/>
      <c r="BH52" s="133"/>
      <c r="BI52" s="133"/>
      <c r="BJ52" s="133"/>
      <c r="BK52" s="133"/>
      <c r="BL52" s="133"/>
      <c r="BM52" s="133"/>
      <c r="BN52" s="133"/>
      <c r="BO52" s="133"/>
      <c r="BP52" s="133"/>
      <c r="BQ52" s="133"/>
      <c r="BR52" s="133"/>
      <c r="BS52" s="133"/>
      <c r="BT52" s="133"/>
      <c r="BU52" s="133"/>
      <c r="BV52" s="133"/>
      <c r="BW52" s="133"/>
      <c r="BX52" s="133"/>
    </row>
    <row r="53" spans="1:253" ht="12.75">
      <c r="A53" s="132" t="s">
        <v>33</v>
      </c>
      <c r="B53" s="133"/>
      <c r="C53" s="132"/>
      <c r="D53" s="133"/>
      <c r="E53" s="133"/>
      <c r="F53" s="132" t="s">
        <v>406</v>
      </c>
      <c r="G53" s="133"/>
      <c r="H53" s="133"/>
      <c r="I53" s="133"/>
      <c r="J53" s="133"/>
      <c r="K53" s="133"/>
      <c r="L53" s="132" t="s">
        <v>782</v>
      </c>
      <c r="M53" s="133"/>
      <c r="N53" s="133"/>
      <c r="O53" s="133"/>
      <c r="P53" s="133"/>
      <c r="Q53" s="133"/>
      <c r="R53" s="133"/>
      <c r="S53" s="133"/>
      <c r="T53" s="133"/>
      <c r="U53" s="133"/>
      <c r="V53" s="133"/>
      <c r="W53" s="133"/>
      <c r="X53" s="133"/>
      <c r="Y53" s="133"/>
      <c r="Z53" s="133"/>
      <c r="AA53" s="133"/>
      <c r="AB53" s="133"/>
      <c r="AC53" s="133"/>
      <c r="AD53" s="133"/>
      <c r="AE53" s="133"/>
      <c r="AF53" s="133"/>
      <c r="AG53" s="133"/>
      <c r="AH53" s="133"/>
      <c r="AI53" s="133"/>
      <c r="AJ53" s="133"/>
      <c r="AK53" s="133"/>
      <c r="AL53" s="133"/>
      <c r="AM53" s="133"/>
      <c r="AN53" s="133"/>
      <c r="AO53" s="133"/>
      <c r="AP53" s="133"/>
      <c r="AQ53" s="133"/>
      <c r="AR53" s="133"/>
      <c r="AS53" s="133"/>
      <c r="AT53" s="133"/>
      <c r="AU53" s="133"/>
      <c r="AV53" s="132" t="s">
        <v>1151</v>
      </c>
      <c r="AW53" s="133"/>
      <c r="AX53" s="134">
        <f>'Stavební rozpočet'!F54</f>
        <v>5</v>
      </c>
      <c r="AY53" s="135"/>
      <c r="AZ53" s="135"/>
      <c r="BA53" s="135"/>
      <c r="BB53" s="135"/>
      <c r="BC53" s="134">
        <f>'Stavební rozpočet'!G54</f>
        <v>0</v>
      </c>
      <c r="BD53" s="135"/>
      <c r="BE53" s="135"/>
      <c r="BF53" s="135"/>
      <c r="BG53" s="135"/>
      <c r="BH53" s="135"/>
      <c r="BI53" s="135"/>
      <c r="BJ53" s="135"/>
      <c r="BK53" s="134">
        <f>IR53*AX53+IS53*AX53</f>
        <v>0</v>
      </c>
      <c r="BL53" s="135"/>
      <c r="BM53" s="135"/>
      <c r="BN53" s="135"/>
      <c r="BO53" s="135"/>
      <c r="BP53" s="135"/>
      <c r="BQ53" s="135"/>
      <c r="BR53" s="135"/>
      <c r="BS53" s="132" t="s">
        <v>1177</v>
      </c>
      <c r="BT53" s="133"/>
      <c r="BU53" s="133"/>
      <c r="BV53" s="133"/>
      <c r="BW53" s="133"/>
      <c r="BX53" s="133"/>
      <c r="IR53" s="46">
        <f>BC53*0.624735849056604</f>
        <v>0</v>
      </c>
      <c r="IS53" s="46">
        <f>BC53*(1-0.624735849056604)</f>
        <v>0</v>
      </c>
    </row>
    <row r="54" spans="1:76" ht="12.75">
      <c r="A54" s="136" t="s">
        <v>6</v>
      </c>
      <c r="B54" s="137"/>
      <c r="C54" s="136" t="s">
        <v>6</v>
      </c>
      <c r="D54" s="137"/>
      <c r="E54" s="137"/>
      <c r="F54" s="136" t="s">
        <v>52</v>
      </c>
      <c r="G54" s="137"/>
      <c r="H54" s="137"/>
      <c r="I54" s="137"/>
      <c r="J54" s="137"/>
      <c r="K54" s="137"/>
      <c r="L54" s="136" t="s">
        <v>783</v>
      </c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6" t="s">
        <v>6</v>
      </c>
      <c r="AW54" s="137"/>
      <c r="AX54" s="138" t="s">
        <v>6</v>
      </c>
      <c r="AY54" s="139"/>
      <c r="AZ54" s="139"/>
      <c r="BA54" s="139"/>
      <c r="BB54" s="139"/>
      <c r="BC54" s="138" t="s">
        <v>6</v>
      </c>
      <c r="BD54" s="139"/>
      <c r="BE54" s="139"/>
      <c r="BF54" s="139"/>
      <c r="BG54" s="139"/>
      <c r="BH54" s="139"/>
      <c r="BI54" s="139"/>
      <c r="BJ54" s="139"/>
      <c r="BK54" s="140">
        <f>SUM(BK55:BK55)</f>
        <v>0</v>
      </c>
      <c r="BL54" s="139"/>
      <c r="BM54" s="139"/>
      <c r="BN54" s="139"/>
      <c r="BO54" s="139"/>
      <c r="BP54" s="139"/>
      <c r="BQ54" s="139"/>
      <c r="BR54" s="139"/>
      <c r="BS54" s="136" t="s">
        <v>6</v>
      </c>
      <c r="BT54" s="137"/>
      <c r="BU54" s="137"/>
      <c r="BV54" s="137"/>
      <c r="BW54" s="137"/>
      <c r="BX54" s="137"/>
    </row>
    <row r="55" spans="1:253" ht="12.75">
      <c r="A55" s="132" t="s">
        <v>34</v>
      </c>
      <c r="B55" s="133"/>
      <c r="C55" s="132"/>
      <c r="D55" s="133"/>
      <c r="E55" s="133"/>
      <c r="F55" s="132" t="s">
        <v>407</v>
      </c>
      <c r="G55" s="133"/>
      <c r="H55" s="133"/>
      <c r="I55" s="133"/>
      <c r="J55" s="133"/>
      <c r="K55" s="133"/>
      <c r="L55" s="132" t="s">
        <v>784</v>
      </c>
      <c r="M55" s="133"/>
      <c r="N55" s="133"/>
      <c r="O55" s="133"/>
      <c r="P55" s="133"/>
      <c r="Q55" s="133"/>
      <c r="R55" s="133"/>
      <c r="S55" s="133"/>
      <c r="T55" s="133"/>
      <c r="U55" s="133"/>
      <c r="V55" s="133"/>
      <c r="W55" s="133"/>
      <c r="X55" s="133"/>
      <c r="Y55" s="133"/>
      <c r="Z55" s="133"/>
      <c r="AA55" s="133"/>
      <c r="AB55" s="133"/>
      <c r="AC55" s="133"/>
      <c r="AD55" s="133"/>
      <c r="AE55" s="133"/>
      <c r="AF55" s="133"/>
      <c r="AG55" s="133"/>
      <c r="AH55" s="133"/>
      <c r="AI55" s="133"/>
      <c r="AJ55" s="133"/>
      <c r="AK55" s="133"/>
      <c r="AL55" s="133"/>
      <c r="AM55" s="133"/>
      <c r="AN55" s="133"/>
      <c r="AO55" s="133"/>
      <c r="AP55" s="133"/>
      <c r="AQ55" s="133"/>
      <c r="AR55" s="133"/>
      <c r="AS55" s="133"/>
      <c r="AT55" s="133"/>
      <c r="AU55" s="133"/>
      <c r="AV55" s="132" t="s">
        <v>1151</v>
      </c>
      <c r="AW55" s="133"/>
      <c r="AX55" s="134">
        <f>'Stavební rozpočet'!F56</f>
        <v>11.312</v>
      </c>
      <c r="AY55" s="135"/>
      <c r="AZ55" s="135"/>
      <c r="BA55" s="135"/>
      <c r="BB55" s="135"/>
      <c r="BC55" s="134">
        <f>'Stavební rozpočet'!G56</f>
        <v>0</v>
      </c>
      <c r="BD55" s="135"/>
      <c r="BE55" s="135"/>
      <c r="BF55" s="135"/>
      <c r="BG55" s="135"/>
      <c r="BH55" s="135"/>
      <c r="BI55" s="135"/>
      <c r="BJ55" s="135"/>
      <c r="BK55" s="134">
        <f>IR55*AX55+IS55*AX55</f>
        <v>0</v>
      </c>
      <c r="BL55" s="135"/>
      <c r="BM55" s="135"/>
      <c r="BN55" s="135"/>
      <c r="BO55" s="135"/>
      <c r="BP55" s="135"/>
      <c r="BQ55" s="135"/>
      <c r="BR55" s="135"/>
      <c r="BS55" s="132" t="s">
        <v>1177</v>
      </c>
      <c r="BT55" s="133"/>
      <c r="BU55" s="133"/>
      <c r="BV55" s="133"/>
      <c r="BW55" s="133"/>
      <c r="BX55" s="133"/>
      <c r="IR55" s="46">
        <f>BC55*0.575305164319249</f>
        <v>0</v>
      </c>
      <c r="IS55" s="46">
        <f>BC55*(1-0.575305164319249)</f>
        <v>0</v>
      </c>
    </row>
    <row r="56" spans="1:76" ht="12.75">
      <c r="A56" s="136" t="s">
        <v>6</v>
      </c>
      <c r="B56" s="137"/>
      <c r="C56" s="136" t="s">
        <v>6</v>
      </c>
      <c r="D56" s="137"/>
      <c r="E56" s="137"/>
      <c r="F56" s="136" t="s">
        <v>66</v>
      </c>
      <c r="G56" s="137"/>
      <c r="H56" s="137"/>
      <c r="I56" s="137"/>
      <c r="J56" s="137"/>
      <c r="K56" s="137"/>
      <c r="L56" s="136" t="s">
        <v>785</v>
      </c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/>
      <c r="AS56" s="137"/>
      <c r="AT56" s="137"/>
      <c r="AU56" s="137"/>
      <c r="AV56" s="136" t="s">
        <v>6</v>
      </c>
      <c r="AW56" s="137"/>
      <c r="AX56" s="138" t="s">
        <v>6</v>
      </c>
      <c r="AY56" s="139"/>
      <c r="AZ56" s="139"/>
      <c r="BA56" s="139"/>
      <c r="BB56" s="139"/>
      <c r="BC56" s="138" t="s">
        <v>6</v>
      </c>
      <c r="BD56" s="139"/>
      <c r="BE56" s="139"/>
      <c r="BF56" s="139"/>
      <c r="BG56" s="139"/>
      <c r="BH56" s="139"/>
      <c r="BI56" s="139"/>
      <c r="BJ56" s="139"/>
      <c r="BK56" s="140">
        <f>SUM(BK57:BK57)</f>
        <v>0</v>
      </c>
      <c r="BL56" s="139"/>
      <c r="BM56" s="139"/>
      <c r="BN56" s="139"/>
      <c r="BO56" s="139"/>
      <c r="BP56" s="139"/>
      <c r="BQ56" s="139"/>
      <c r="BR56" s="139"/>
      <c r="BS56" s="136" t="s">
        <v>6</v>
      </c>
      <c r="BT56" s="137"/>
      <c r="BU56" s="137"/>
      <c r="BV56" s="137"/>
      <c r="BW56" s="137"/>
      <c r="BX56" s="137"/>
    </row>
    <row r="57" spans="1:253" ht="12.75">
      <c r="A57" s="132" t="s">
        <v>35</v>
      </c>
      <c r="B57" s="133"/>
      <c r="C57" s="132"/>
      <c r="D57" s="133"/>
      <c r="E57" s="133"/>
      <c r="F57" s="132" t="s">
        <v>408</v>
      </c>
      <c r="G57" s="133"/>
      <c r="H57" s="133"/>
      <c r="I57" s="133"/>
      <c r="J57" s="133"/>
      <c r="K57" s="133"/>
      <c r="L57" s="132" t="s">
        <v>786</v>
      </c>
      <c r="M57" s="133"/>
      <c r="N57" s="133"/>
      <c r="O57" s="133"/>
      <c r="P57" s="133"/>
      <c r="Q57" s="133"/>
      <c r="R57" s="133"/>
      <c r="S57" s="133"/>
      <c r="T57" s="133"/>
      <c r="U57" s="133"/>
      <c r="V57" s="133"/>
      <c r="W57" s="133"/>
      <c r="X57" s="133"/>
      <c r="Y57" s="133"/>
      <c r="Z57" s="133"/>
      <c r="AA57" s="133"/>
      <c r="AB57" s="133"/>
      <c r="AC57" s="133"/>
      <c r="AD57" s="133"/>
      <c r="AE57" s="133"/>
      <c r="AF57" s="133"/>
      <c r="AG57" s="133"/>
      <c r="AH57" s="133"/>
      <c r="AI57" s="133"/>
      <c r="AJ57" s="133"/>
      <c r="AK57" s="133"/>
      <c r="AL57" s="133"/>
      <c r="AM57" s="133"/>
      <c r="AN57" s="133"/>
      <c r="AO57" s="133"/>
      <c r="AP57" s="133"/>
      <c r="AQ57" s="133"/>
      <c r="AR57" s="133"/>
      <c r="AS57" s="133"/>
      <c r="AT57" s="133"/>
      <c r="AU57" s="133"/>
      <c r="AV57" s="132" t="s">
        <v>1151</v>
      </c>
      <c r="AW57" s="133"/>
      <c r="AX57" s="134">
        <f>'Stavební rozpočet'!F58</f>
        <v>81.259</v>
      </c>
      <c r="AY57" s="135"/>
      <c r="AZ57" s="135"/>
      <c r="BA57" s="135"/>
      <c r="BB57" s="135"/>
      <c r="BC57" s="134">
        <f>'Stavební rozpočet'!G58</f>
        <v>0</v>
      </c>
      <c r="BD57" s="135"/>
      <c r="BE57" s="135"/>
      <c r="BF57" s="135"/>
      <c r="BG57" s="135"/>
      <c r="BH57" s="135"/>
      <c r="BI57" s="135"/>
      <c r="BJ57" s="135"/>
      <c r="BK57" s="134">
        <f>IR57*AX57+IS57*AX57</f>
        <v>0</v>
      </c>
      <c r="BL57" s="135"/>
      <c r="BM57" s="135"/>
      <c r="BN57" s="135"/>
      <c r="BO57" s="135"/>
      <c r="BP57" s="135"/>
      <c r="BQ57" s="135"/>
      <c r="BR57" s="135"/>
      <c r="BS57" s="132" t="s">
        <v>1177</v>
      </c>
      <c r="BT57" s="133"/>
      <c r="BU57" s="133"/>
      <c r="BV57" s="133"/>
      <c r="BW57" s="133"/>
      <c r="BX57" s="133"/>
      <c r="IR57" s="46">
        <f>BC57*0.660379746835443</f>
        <v>0</v>
      </c>
      <c r="IS57" s="46">
        <f>BC57*(1-0.660379746835443)</f>
        <v>0</v>
      </c>
    </row>
    <row r="58" spans="1:76" ht="12.75">
      <c r="A58" s="132"/>
      <c r="B58" s="133"/>
      <c r="C58" s="133"/>
      <c r="D58" s="133"/>
      <c r="E58" s="133"/>
      <c r="F58" s="133"/>
      <c r="G58" s="133"/>
      <c r="H58" s="133"/>
      <c r="I58" s="133"/>
      <c r="J58" s="133"/>
      <c r="K58" s="133"/>
      <c r="L58" s="141" t="s">
        <v>787</v>
      </c>
      <c r="M58" s="142"/>
      <c r="N58" s="142"/>
      <c r="O58" s="142"/>
      <c r="P58" s="142"/>
      <c r="Q58" s="142"/>
      <c r="R58" s="142"/>
      <c r="S58" s="142"/>
      <c r="T58" s="142"/>
      <c r="U58" s="142"/>
      <c r="V58" s="142"/>
      <c r="W58" s="142"/>
      <c r="X58" s="142"/>
      <c r="Y58" s="142"/>
      <c r="Z58" s="142"/>
      <c r="AA58" s="142"/>
      <c r="AB58" s="142"/>
      <c r="AC58" s="142"/>
      <c r="AD58" s="142"/>
      <c r="AE58" s="142"/>
      <c r="AF58" s="142"/>
      <c r="AG58" s="142"/>
      <c r="AH58" s="142"/>
      <c r="AI58" s="142"/>
      <c r="AJ58" s="142"/>
      <c r="AK58" s="142"/>
      <c r="AL58" s="142"/>
      <c r="AM58" s="142"/>
      <c r="AN58" s="142"/>
      <c r="AO58" s="142"/>
      <c r="AP58" s="142"/>
      <c r="AQ58" s="142"/>
      <c r="AR58" s="142"/>
      <c r="AS58" s="142"/>
      <c r="AT58" s="142"/>
      <c r="AU58" s="142"/>
      <c r="AV58" s="132"/>
      <c r="AW58" s="133"/>
      <c r="AX58" s="133"/>
      <c r="AY58" s="133"/>
      <c r="AZ58" s="133"/>
      <c r="BA58" s="133"/>
      <c r="BB58" s="133"/>
      <c r="BC58" s="133"/>
      <c r="BD58" s="133"/>
      <c r="BE58" s="133"/>
      <c r="BF58" s="133"/>
      <c r="BG58" s="133"/>
      <c r="BH58" s="133"/>
      <c r="BI58" s="133"/>
      <c r="BJ58" s="133"/>
      <c r="BK58" s="133"/>
      <c r="BL58" s="133"/>
      <c r="BM58" s="133"/>
      <c r="BN58" s="133"/>
      <c r="BO58" s="133"/>
      <c r="BP58" s="133"/>
      <c r="BQ58" s="133"/>
      <c r="BR58" s="133"/>
      <c r="BS58" s="133"/>
      <c r="BT58" s="133"/>
      <c r="BU58" s="133"/>
      <c r="BV58" s="133"/>
      <c r="BW58" s="133"/>
      <c r="BX58" s="133"/>
    </row>
    <row r="59" spans="1:76" ht="12.75">
      <c r="A59" s="136" t="s">
        <v>6</v>
      </c>
      <c r="B59" s="137"/>
      <c r="C59" s="136" t="s">
        <v>6</v>
      </c>
      <c r="D59" s="137"/>
      <c r="E59" s="137"/>
      <c r="F59" s="136" t="s">
        <v>67</v>
      </c>
      <c r="G59" s="137"/>
      <c r="H59" s="137"/>
      <c r="I59" s="137"/>
      <c r="J59" s="137"/>
      <c r="K59" s="137"/>
      <c r="L59" s="136" t="s">
        <v>788</v>
      </c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137"/>
      <c r="AQ59" s="137"/>
      <c r="AR59" s="137"/>
      <c r="AS59" s="137"/>
      <c r="AT59" s="137"/>
      <c r="AU59" s="137"/>
      <c r="AV59" s="136" t="s">
        <v>6</v>
      </c>
      <c r="AW59" s="137"/>
      <c r="AX59" s="138" t="s">
        <v>6</v>
      </c>
      <c r="AY59" s="139"/>
      <c r="AZ59" s="139"/>
      <c r="BA59" s="139"/>
      <c r="BB59" s="139"/>
      <c r="BC59" s="138" t="s">
        <v>6</v>
      </c>
      <c r="BD59" s="139"/>
      <c r="BE59" s="139"/>
      <c r="BF59" s="139"/>
      <c r="BG59" s="139"/>
      <c r="BH59" s="139"/>
      <c r="BI59" s="139"/>
      <c r="BJ59" s="139"/>
      <c r="BK59" s="140">
        <f>SUM(BK60:BK60)</f>
        <v>0</v>
      </c>
      <c r="BL59" s="139"/>
      <c r="BM59" s="139"/>
      <c r="BN59" s="139"/>
      <c r="BO59" s="139"/>
      <c r="BP59" s="139"/>
      <c r="BQ59" s="139"/>
      <c r="BR59" s="139"/>
      <c r="BS59" s="136" t="s">
        <v>6</v>
      </c>
      <c r="BT59" s="137"/>
      <c r="BU59" s="137"/>
      <c r="BV59" s="137"/>
      <c r="BW59" s="137"/>
      <c r="BX59" s="137"/>
    </row>
    <row r="60" spans="1:253" ht="12.75">
      <c r="A60" s="132" t="s">
        <v>36</v>
      </c>
      <c r="B60" s="133"/>
      <c r="C60" s="132"/>
      <c r="D60" s="133"/>
      <c r="E60" s="133"/>
      <c r="F60" s="132" t="s">
        <v>409</v>
      </c>
      <c r="G60" s="133"/>
      <c r="H60" s="133"/>
      <c r="I60" s="133"/>
      <c r="J60" s="133"/>
      <c r="K60" s="133"/>
      <c r="L60" s="132" t="s">
        <v>789</v>
      </c>
      <c r="M60" s="133"/>
      <c r="N60" s="133"/>
      <c r="O60" s="133"/>
      <c r="P60" s="133"/>
      <c r="Q60" s="133"/>
      <c r="R60" s="133"/>
      <c r="S60" s="133"/>
      <c r="T60" s="133"/>
      <c r="U60" s="133"/>
      <c r="V60" s="133"/>
      <c r="W60" s="133"/>
      <c r="X60" s="133"/>
      <c r="Y60" s="133"/>
      <c r="Z60" s="133"/>
      <c r="AA60" s="133"/>
      <c r="AB60" s="133"/>
      <c r="AC60" s="133"/>
      <c r="AD60" s="133"/>
      <c r="AE60" s="133"/>
      <c r="AF60" s="133"/>
      <c r="AG60" s="133"/>
      <c r="AH60" s="133"/>
      <c r="AI60" s="133"/>
      <c r="AJ60" s="133"/>
      <c r="AK60" s="133"/>
      <c r="AL60" s="133"/>
      <c r="AM60" s="133"/>
      <c r="AN60" s="133"/>
      <c r="AO60" s="133"/>
      <c r="AP60" s="133"/>
      <c r="AQ60" s="133"/>
      <c r="AR60" s="133"/>
      <c r="AS60" s="133"/>
      <c r="AT60" s="133"/>
      <c r="AU60" s="133"/>
      <c r="AV60" s="132" t="s">
        <v>1151</v>
      </c>
      <c r="AW60" s="133"/>
      <c r="AX60" s="134">
        <f>'Stavební rozpočet'!F61</f>
        <v>4.8</v>
      </c>
      <c r="AY60" s="135"/>
      <c r="AZ60" s="135"/>
      <c r="BA60" s="135"/>
      <c r="BB60" s="135"/>
      <c r="BC60" s="134">
        <f>'Stavební rozpočet'!G61</f>
        <v>0</v>
      </c>
      <c r="BD60" s="135"/>
      <c r="BE60" s="135"/>
      <c r="BF60" s="135"/>
      <c r="BG60" s="135"/>
      <c r="BH60" s="135"/>
      <c r="BI60" s="135"/>
      <c r="BJ60" s="135"/>
      <c r="BK60" s="134">
        <f>IR60*AX60+IS60*AX60</f>
        <v>0</v>
      </c>
      <c r="BL60" s="135"/>
      <c r="BM60" s="135"/>
      <c r="BN60" s="135"/>
      <c r="BO60" s="135"/>
      <c r="BP60" s="135"/>
      <c r="BQ60" s="135"/>
      <c r="BR60" s="135"/>
      <c r="BS60" s="132" t="s">
        <v>1177</v>
      </c>
      <c r="BT60" s="133"/>
      <c r="BU60" s="133"/>
      <c r="BV60" s="133"/>
      <c r="BW60" s="133"/>
      <c r="BX60" s="133"/>
      <c r="IR60" s="46">
        <f>BC60*0.417250801948438</f>
        <v>0</v>
      </c>
      <c r="IS60" s="46">
        <f>BC60*(1-0.417250801948438)</f>
        <v>0</v>
      </c>
    </row>
    <row r="61" spans="1:76" ht="12.75">
      <c r="A61" s="136" t="s">
        <v>6</v>
      </c>
      <c r="B61" s="137"/>
      <c r="C61" s="136" t="s">
        <v>6</v>
      </c>
      <c r="D61" s="137"/>
      <c r="E61" s="137"/>
      <c r="F61" s="136" t="s">
        <v>68</v>
      </c>
      <c r="G61" s="137"/>
      <c r="H61" s="137"/>
      <c r="I61" s="137"/>
      <c r="J61" s="137"/>
      <c r="K61" s="137"/>
      <c r="L61" s="136" t="s">
        <v>790</v>
      </c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  <c r="AA61" s="137"/>
      <c r="AB61" s="137"/>
      <c r="AC61" s="137"/>
      <c r="AD61" s="137"/>
      <c r="AE61" s="137"/>
      <c r="AF61" s="137"/>
      <c r="AG61" s="137"/>
      <c r="AH61" s="137"/>
      <c r="AI61" s="137"/>
      <c r="AJ61" s="137"/>
      <c r="AK61" s="137"/>
      <c r="AL61" s="137"/>
      <c r="AM61" s="137"/>
      <c r="AN61" s="137"/>
      <c r="AO61" s="137"/>
      <c r="AP61" s="137"/>
      <c r="AQ61" s="137"/>
      <c r="AR61" s="137"/>
      <c r="AS61" s="137"/>
      <c r="AT61" s="137"/>
      <c r="AU61" s="137"/>
      <c r="AV61" s="136" t="s">
        <v>6</v>
      </c>
      <c r="AW61" s="137"/>
      <c r="AX61" s="138" t="s">
        <v>6</v>
      </c>
      <c r="AY61" s="139"/>
      <c r="AZ61" s="139"/>
      <c r="BA61" s="139"/>
      <c r="BB61" s="139"/>
      <c r="BC61" s="138" t="s">
        <v>6</v>
      </c>
      <c r="BD61" s="139"/>
      <c r="BE61" s="139"/>
      <c r="BF61" s="139"/>
      <c r="BG61" s="139"/>
      <c r="BH61" s="139"/>
      <c r="BI61" s="139"/>
      <c r="BJ61" s="139"/>
      <c r="BK61" s="140">
        <f>SUM(BK62:BK66)</f>
        <v>0</v>
      </c>
      <c r="BL61" s="139"/>
      <c r="BM61" s="139"/>
      <c r="BN61" s="139"/>
      <c r="BO61" s="139"/>
      <c r="BP61" s="139"/>
      <c r="BQ61" s="139"/>
      <c r="BR61" s="139"/>
      <c r="BS61" s="136" t="s">
        <v>6</v>
      </c>
      <c r="BT61" s="137"/>
      <c r="BU61" s="137"/>
      <c r="BV61" s="137"/>
      <c r="BW61" s="137"/>
      <c r="BX61" s="137"/>
    </row>
    <row r="62" spans="1:253" ht="12.75">
      <c r="A62" s="132" t="s">
        <v>37</v>
      </c>
      <c r="B62" s="133"/>
      <c r="C62" s="132"/>
      <c r="D62" s="133"/>
      <c r="E62" s="133"/>
      <c r="F62" s="132" t="s">
        <v>410</v>
      </c>
      <c r="G62" s="133"/>
      <c r="H62" s="133"/>
      <c r="I62" s="133"/>
      <c r="J62" s="133"/>
      <c r="K62" s="133"/>
      <c r="L62" s="132" t="s">
        <v>791</v>
      </c>
      <c r="M62" s="133"/>
      <c r="N62" s="133"/>
      <c r="O62" s="133"/>
      <c r="P62" s="133"/>
      <c r="Q62" s="133"/>
      <c r="R62" s="133"/>
      <c r="S62" s="133"/>
      <c r="T62" s="133"/>
      <c r="U62" s="133"/>
      <c r="V62" s="133"/>
      <c r="W62" s="133"/>
      <c r="X62" s="133"/>
      <c r="Y62" s="133"/>
      <c r="Z62" s="133"/>
      <c r="AA62" s="133"/>
      <c r="AB62" s="133"/>
      <c r="AC62" s="133"/>
      <c r="AD62" s="133"/>
      <c r="AE62" s="133"/>
      <c r="AF62" s="133"/>
      <c r="AG62" s="133"/>
      <c r="AH62" s="133"/>
      <c r="AI62" s="133"/>
      <c r="AJ62" s="133"/>
      <c r="AK62" s="133"/>
      <c r="AL62" s="133"/>
      <c r="AM62" s="133"/>
      <c r="AN62" s="133"/>
      <c r="AO62" s="133"/>
      <c r="AP62" s="133"/>
      <c r="AQ62" s="133"/>
      <c r="AR62" s="133"/>
      <c r="AS62" s="133"/>
      <c r="AT62" s="133"/>
      <c r="AU62" s="133"/>
      <c r="AV62" s="132" t="s">
        <v>1154</v>
      </c>
      <c r="AW62" s="133"/>
      <c r="AX62" s="134">
        <f>'Stavební rozpočet'!F63</f>
        <v>19</v>
      </c>
      <c r="AY62" s="135"/>
      <c r="AZ62" s="135"/>
      <c r="BA62" s="135"/>
      <c r="BB62" s="135"/>
      <c r="BC62" s="134">
        <f>'Stavební rozpočet'!G63</f>
        <v>0</v>
      </c>
      <c r="BD62" s="135"/>
      <c r="BE62" s="135"/>
      <c r="BF62" s="135"/>
      <c r="BG62" s="135"/>
      <c r="BH62" s="135"/>
      <c r="BI62" s="135"/>
      <c r="BJ62" s="135"/>
      <c r="BK62" s="134">
        <f>IR62*AX62+IS62*AX62</f>
        <v>0</v>
      </c>
      <c r="BL62" s="135"/>
      <c r="BM62" s="135"/>
      <c r="BN62" s="135"/>
      <c r="BO62" s="135"/>
      <c r="BP62" s="135"/>
      <c r="BQ62" s="135"/>
      <c r="BR62" s="135"/>
      <c r="BS62" s="132" t="s">
        <v>1177</v>
      </c>
      <c r="BT62" s="133"/>
      <c r="BU62" s="133"/>
      <c r="BV62" s="133"/>
      <c r="BW62" s="133"/>
      <c r="BX62" s="133"/>
      <c r="IR62" s="46">
        <f>BC62*0.710001675322499</f>
        <v>0</v>
      </c>
      <c r="IS62" s="46">
        <f>BC62*(1-0.710001675322499)</f>
        <v>0</v>
      </c>
    </row>
    <row r="63" spans="1:253" ht="12.75">
      <c r="A63" s="132" t="s">
        <v>38</v>
      </c>
      <c r="B63" s="133"/>
      <c r="C63" s="132"/>
      <c r="D63" s="133"/>
      <c r="E63" s="133"/>
      <c r="F63" s="132" t="s">
        <v>411</v>
      </c>
      <c r="G63" s="133"/>
      <c r="H63" s="133"/>
      <c r="I63" s="133"/>
      <c r="J63" s="133"/>
      <c r="K63" s="133"/>
      <c r="L63" s="132" t="s">
        <v>792</v>
      </c>
      <c r="M63" s="133"/>
      <c r="N63" s="133"/>
      <c r="O63" s="133"/>
      <c r="P63" s="133"/>
      <c r="Q63" s="133"/>
      <c r="R63" s="133"/>
      <c r="S63" s="133"/>
      <c r="T63" s="133"/>
      <c r="U63" s="133"/>
      <c r="V63" s="133"/>
      <c r="W63" s="133"/>
      <c r="X63" s="133"/>
      <c r="Y63" s="133"/>
      <c r="Z63" s="133"/>
      <c r="AA63" s="133"/>
      <c r="AB63" s="133"/>
      <c r="AC63" s="133"/>
      <c r="AD63" s="133"/>
      <c r="AE63" s="133"/>
      <c r="AF63" s="133"/>
      <c r="AG63" s="133"/>
      <c r="AH63" s="133"/>
      <c r="AI63" s="133"/>
      <c r="AJ63" s="133"/>
      <c r="AK63" s="133"/>
      <c r="AL63" s="133"/>
      <c r="AM63" s="133"/>
      <c r="AN63" s="133"/>
      <c r="AO63" s="133"/>
      <c r="AP63" s="133"/>
      <c r="AQ63" s="133"/>
      <c r="AR63" s="133"/>
      <c r="AS63" s="133"/>
      <c r="AT63" s="133"/>
      <c r="AU63" s="133"/>
      <c r="AV63" s="132" t="s">
        <v>1151</v>
      </c>
      <c r="AW63" s="133"/>
      <c r="AX63" s="134">
        <f>'Stavební rozpočet'!F64</f>
        <v>22.939</v>
      </c>
      <c r="AY63" s="135"/>
      <c r="AZ63" s="135"/>
      <c r="BA63" s="135"/>
      <c r="BB63" s="135"/>
      <c r="BC63" s="134">
        <f>'Stavební rozpočet'!G64</f>
        <v>0</v>
      </c>
      <c r="BD63" s="135"/>
      <c r="BE63" s="135"/>
      <c r="BF63" s="135"/>
      <c r="BG63" s="135"/>
      <c r="BH63" s="135"/>
      <c r="BI63" s="135"/>
      <c r="BJ63" s="135"/>
      <c r="BK63" s="134">
        <f>IR63*AX63+IS63*AX63</f>
        <v>0</v>
      </c>
      <c r="BL63" s="135"/>
      <c r="BM63" s="135"/>
      <c r="BN63" s="135"/>
      <c r="BO63" s="135"/>
      <c r="BP63" s="135"/>
      <c r="BQ63" s="135"/>
      <c r="BR63" s="135"/>
      <c r="BS63" s="132" t="s">
        <v>1177</v>
      </c>
      <c r="BT63" s="133"/>
      <c r="BU63" s="133"/>
      <c r="BV63" s="133"/>
      <c r="BW63" s="133"/>
      <c r="BX63" s="133"/>
      <c r="IR63" s="46">
        <f>BC63*0.328027853767719</f>
        <v>0</v>
      </c>
      <c r="IS63" s="46">
        <f>BC63*(1-0.328027853767719)</f>
        <v>0</v>
      </c>
    </row>
    <row r="64" spans="1:253" ht="12.75">
      <c r="A64" s="132" t="s">
        <v>39</v>
      </c>
      <c r="B64" s="133"/>
      <c r="C64" s="132"/>
      <c r="D64" s="133"/>
      <c r="E64" s="133"/>
      <c r="F64" s="132" t="s">
        <v>412</v>
      </c>
      <c r="G64" s="133"/>
      <c r="H64" s="133"/>
      <c r="I64" s="133"/>
      <c r="J64" s="133"/>
      <c r="K64" s="133"/>
      <c r="L64" s="132" t="s">
        <v>793</v>
      </c>
      <c r="M64" s="133"/>
      <c r="N64" s="133"/>
      <c r="O64" s="133"/>
      <c r="P64" s="133"/>
      <c r="Q64" s="133"/>
      <c r="R64" s="133"/>
      <c r="S64" s="133"/>
      <c r="T64" s="133"/>
      <c r="U64" s="133"/>
      <c r="V64" s="133"/>
      <c r="W64" s="133"/>
      <c r="X64" s="133"/>
      <c r="Y64" s="133"/>
      <c r="Z64" s="133"/>
      <c r="AA64" s="133"/>
      <c r="AB64" s="133"/>
      <c r="AC64" s="133"/>
      <c r="AD64" s="133"/>
      <c r="AE64" s="133"/>
      <c r="AF64" s="133"/>
      <c r="AG64" s="133"/>
      <c r="AH64" s="133"/>
      <c r="AI64" s="133"/>
      <c r="AJ64" s="133"/>
      <c r="AK64" s="133"/>
      <c r="AL64" s="133"/>
      <c r="AM64" s="133"/>
      <c r="AN64" s="133"/>
      <c r="AO64" s="133"/>
      <c r="AP64" s="133"/>
      <c r="AQ64" s="133"/>
      <c r="AR64" s="133"/>
      <c r="AS64" s="133"/>
      <c r="AT64" s="133"/>
      <c r="AU64" s="133"/>
      <c r="AV64" s="132" t="s">
        <v>1151</v>
      </c>
      <c r="AW64" s="133"/>
      <c r="AX64" s="134">
        <f>'Stavební rozpočet'!F65</f>
        <v>83.5156</v>
      </c>
      <c r="AY64" s="135"/>
      <c r="AZ64" s="135"/>
      <c r="BA64" s="135"/>
      <c r="BB64" s="135"/>
      <c r="BC64" s="134">
        <f>'Stavební rozpočet'!G65</f>
        <v>0</v>
      </c>
      <c r="BD64" s="135"/>
      <c r="BE64" s="135"/>
      <c r="BF64" s="135"/>
      <c r="BG64" s="135"/>
      <c r="BH64" s="135"/>
      <c r="BI64" s="135"/>
      <c r="BJ64" s="135"/>
      <c r="BK64" s="134">
        <f>IR64*AX64+IS64*AX64</f>
        <v>0</v>
      </c>
      <c r="BL64" s="135"/>
      <c r="BM64" s="135"/>
      <c r="BN64" s="135"/>
      <c r="BO64" s="135"/>
      <c r="BP64" s="135"/>
      <c r="BQ64" s="135"/>
      <c r="BR64" s="135"/>
      <c r="BS64" s="132" t="s">
        <v>1177</v>
      </c>
      <c r="BT64" s="133"/>
      <c r="BU64" s="133"/>
      <c r="BV64" s="133"/>
      <c r="BW64" s="133"/>
      <c r="BX64" s="133"/>
      <c r="IR64" s="46">
        <f>BC64*0.120673952641166</f>
        <v>0</v>
      </c>
      <c r="IS64" s="46">
        <f>BC64*(1-0.120673952641166)</f>
        <v>0</v>
      </c>
    </row>
    <row r="65" spans="1:76" ht="12.75">
      <c r="A65" s="132"/>
      <c r="B65" s="133"/>
      <c r="C65" s="133"/>
      <c r="D65" s="133"/>
      <c r="E65" s="133"/>
      <c r="F65" s="133"/>
      <c r="G65" s="133"/>
      <c r="H65" s="133"/>
      <c r="I65" s="133"/>
      <c r="J65" s="133"/>
      <c r="K65" s="133"/>
      <c r="L65" s="141" t="s">
        <v>794</v>
      </c>
      <c r="M65" s="142"/>
      <c r="N65" s="142"/>
      <c r="O65" s="142"/>
      <c r="P65" s="142"/>
      <c r="Q65" s="142"/>
      <c r="R65" s="142"/>
      <c r="S65" s="142"/>
      <c r="T65" s="142"/>
      <c r="U65" s="142"/>
      <c r="V65" s="142"/>
      <c r="W65" s="142"/>
      <c r="X65" s="142"/>
      <c r="Y65" s="142"/>
      <c r="Z65" s="142"/>
      <c r="AA65" s="142"/>
      <c r="AB65" s="142"/>
      <c r="AC65" s="142"/>
      <c r="AD65" s="142"/>
      <c r="AE65" s="142"/>
      <c r="AF65" s="142"/>
      <c r="AG65" s="142"/>
      <c r="AH65" s="142"/>
      <c r="AI65" s="142"/>
      <c r="AJ65" s="142"/>
      <c r="AK65" s="142"/>
      <c r="AL65" s="142"/>
      <c r="AM65" s="142"/>
      <c r="AN65" s="142"/>
      <c r="AO65" s="142"/>
      <c r="AP65" s="142"/>
      <c r="AQ65" s="142"/>
      <c r="AR65" s="142"/>
      <c r="AS65" s="142"/>
      <c r="AT65" s="142"/>
      <c r="AU65" s="142"/>
      <c r="AV65" s="132"/>
      <c r="AW65" s="133"/>
      <c r="AX65" s="133"/>
      <c r="AY65" s="133"/>
      <c r="AZ65" s="133"/>
      <c r="BA65" s="133"/>
      <c r="BB65" s="133"/>
      <c r="BC65" s="133"/>
      <c r="BD65" s="133"/>
      <c r="BE65" s="133"/>
      <c r="BF65" s="133"/>
      <c r="BG65" s="133"/>
      <c r="BH65" s="133"/>
      <c r="BI65" s="133"/>
      <c r="BJ65" s="133"/>
      <c r="BK65" s="133"/>
      <c r="BL65" s="133"/>
      <c r="BM65" s="133"/>
      <c r="BN65" s="133"/>
      <c r="BO65" s="133"/>
      <c r="BP65" s="133"/>
      <c r="BQ65" s="133"/>
      <c r="BR65" s="133"/>
      <c r="BS65" s="133"/>
      <c r="BT65" s="133"/>
      <c r="BU65" s="133"/>
      <c r="BV65" s="133"/>
      <c r="BW65" s="133"/>
      <c r="BX65" s="133"/>
    </row>
    <row r="66" spans="1:253" ht="12.75">
      <c r="A66" s="132" t="s">
        <v>40</v>
      </c>
      <c r="B66" s="133"/>
      <c r="C66" s="132"/>
      <c r="D66" s="133"/>
      <c r="E66" s="133"/>
      <c r="F66" s="132" t="s">
        <v>413</v>
      </c>
      <c r="G66" s="133"/>
      <c r="H66" s="133"/>
      <c r="I66" s="133"/>
      <c r="J66" s="133"/>
      <c r="K66" s="133"/>
      <c r="L66" s="132" t="s">
        <v>795</v>
      </c>
      <c r="M66" s="133"/>
      <c r="N66" s="133"/>
      <c r="O66" s="133"/>
      <c r="P66" s="133"/>
      <c r="Q66" s="133"/>
      <c r="R66" s="133"/>
      <c r="S66" s="133"/>
      <c r="T66" s="133"/>
      <c r="U66" s="133"/>
      <c r="V66" s="133"/>
      <c r="W66" s="133"/>
      <c r="X66" s="133"/>
      <c r="Y66" s="133"/>
      <c r="Z66" s="133"/>
      <c r="AA66" s="133"/>
      <c r="AB66" s="133"/>
      <c r="AC66" s="133"/>
      <c r="AD66" s="133"/>
      <c r="AE66" s="133"/>
      <c r="AF66" s="133"/>
      <c r="AG66" s="133"/>
      <c r="AH66" s="133"/>
      <c r="AI66" s="133"/>
      <c r="AJ66" s="133"/>
      <c r="AK66" s="133"/>
      <c r="AL66" s="133"/>
      <c r="AM66" s="133"/>
      <c r="AN66" s="133"/>
      <c r="AO66" s="133"/>
      <c r="AP66" s="133"/>
      <c r="AQ66" s="133"/>
      <c r="AR66" s="133"/>
      <c r="AS66" s="133"/>
      <c r="AT66" s="133"/>
      <c r="AU66" s="133"/>
      <c r="AV66" s="132" t="s">
        <v>1151</v>
      </c>
      <c r="AW66" s="133"/>
      <c r="AX66" s="134">
        <f>'Stavební rozpočet'!F67</f>
        <v>9.648</v>
      </c>
      <c r="AY66" s="135"/>
      <c r="AZ66" s="135"/>
      <c r="BA66" s="135"/>
      <c r="BB66" s="135"/>
      <c r="BC66" s="134">
        <f>'Stavební rozpočet'!G67</f>
        <v>0</v>
      </c>
      <c r="BD66" s="135"/>
      <c r="BE66" s="135"/>
      <c r="BF66" s="135"/>
      <c r="BG66" s="135"/>
      <c r="BH66" s="135"/>
      <c r="BI66" s="135"/>
      <c r="BJ66" s="135"/>
      <c r="BK66" s="134">
        <f>IR66*AX66+IS66*AX66</f>
        <v>0</v>
      </c>
      <c r="BL66" s="135"/>
      <c r="BM66" s="135"/>
      <c r="BN66" s="135"/>
      <c r="BO66" s="135"/>
      <c r="BP66" s="135"/>
      <c r="BQ66" s="135"/>
      <c r="BR66" s="135"/>
      <c r="BS66" s="132" t="s">
        <v>1177</v>
      </c>
      <c r="BT66" s="133"/>
      <c r="BU66" s="133"/>
      <c r="BV66" s="133"/>
      <c r="BW66" s="133"/>
      <c r="BX66" s="133"/>
      <c r="IR66" s="46">
        <f>BC66*0.12066889632107</f>
        <v>0</v>
      </c>
      <c r="IS66" s="46">
        <f>BC66*(1-0.12066889632107)</f>
        <v>0</v>
      </c>
    </row>
    <row r="67" spans="1:76" ht="25.5" customHeight="1">
      <c r="A67" s="132"/>
      <c r="B67" s="133"/>
      <c r="C67" s="133"/>
      <c r="D67" s="133"/>
      <c r="E67" s="133"/>
      <c r="F67" s="133"/>
      <c r="G67" s="133"/>
      <c r="H67" s="133"/>
      <c r="I67" s="133"/>
      <c r="J67" s="133"/>
      <c r="K67" s="133"/>
      <c r="L67" s="141" t="s">
        <v>796</v>
      </c>
      <c r="M67" s="142"/>
      <c r="N67" s="142"/>
      <c r="O67" s="142"/>
      <c r="P67" s="142"/>
      <c r="Q67" s="142"/>
      <c r="R67" s="142"/>
      <c r="S67" s="142"/>
      <c r="T67" s="142"/>
      <c r="U67" s="142"/>
      <c r="V67" s="142"/>
      <c r="W67" s="142"/>
      <c r="X67" s="142"/>
      <c r="Y67" s="142"/>
      <c r="Z67" s="142"/>
      <c r="AA67" s="142"/>
      <c r="AB67" s="142"/>
      <c r="AC67" s="142"/>
      <c r="AD67" s="142"/>
      <c r="AE67" s="142"/>
      <c r="AF67" s="142"/>
      <c r="AG67" s="142"/>
      <c r="AH67" s="142"/>
      <c r="AI67" s="142"/>
      <c r="AJ67" s="142"/>
      <c r="AK67" s="142"/>
      <c r="AL67" s="142"/>
      <c r="AM67" s="142"/>
      <c r="AN67" s="142"/>
      <c r="AO67" s="142"/>
      <c r="AP67" s="142"/>
      <c r="AQ67" s="142"/>
      <c r="AR67" s="142"/>
      <c r="AS67" s="142"/>
      <c r="AT67" s="142"/>
      <c r="AU67" s="142"/>
      <c r="AV67" s="132"/>
      <c r="AW67" s="133"/>
      <c r="AX67" s="133"/>
      <c r="AY67" s="133"/>
      <c r="AZ67" s="133"/>
      <c r="BA67" s="133"/>
      <c r="BB67" s="133"/>
      <c r="BC67" s="133"/>
      <c r="BD67" s="133"/>
      <c r="BE67" s="133"/>
      <c r="BF67" s="133"/>
      <c r="BG67" s="133"/>
      <c r="BH67" s="133"/>
      <c r="BI67" s="133"/>
      <c r="BJ67" s="133"/>
      <c r="BK67" s="133"/>
      <c r="BL67" s="133"/>
      <c r="BM67" s="133"/>
      <c r="BN67" s="133"/>
      <c r="BO67" s="133"/>
      <c r="BP67" s="133"/>
      <c r="BQ67" s="133"/>
      <c r="BR67" s="133"/>
      <c r="BS67" s="133"/>
      <c r="BT67" s="133"/>
      <c r="BU67" s="133"/>
      <c r="BV67" s="133"/>
      <c r="BW67" s="133"/>
      <c r="BX67" s="133"/>
    </row>
    <row r="68" spans="1:76" ht="12.75">
      <c r="A68" s="136" t="s">
        <v>6</v>
      </c>
      <c r="B68" s="137"/>
      <c r="C68" s="136" t="s">
        <v>6</v>
      </c>
      <c r="D68" s="137"/>
      <c r="E68" s="137"/>
      <c r="F68" s="136" t="s">
        <v>69</v>
      </c>
      <c r="G68" s="137"/>
      <c r="H68" s="137"/>
      <c r="I68" s="137"/>
      <c r="J68" s="137"/>
      <c r="K68" s="137"/>
      <c r="L68" s="136" t="s">
        <v>797</v>
      </c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137"/>
      <c r="AM68" s="137"/>
      <c r="AN68" s="137"/>
      <c r="AO68" s="137"/>
      <c r="AP68" s="137"/>
      <c r="AQ68" s="137"/>
      <c r="AR68" s="137"/>
      <c r="AS68" s="137"/>
      <c r="AT68" s="137"/>
      <c r="AU68" s="137"/>
      <c r="AV68" s="136" t="s">
        <v>6</v>
      </c>
      <c r="AW68" s="137"/>
      <c r="AX68" s="138" t="s">
        <v>6</v>
      </c>
      <c r="AY68" s="139"/>
      <c r="AZ68" s="139"/>
      <c r="BA68" s="139"/>
      <c r="BB68" s="139"/>
      <c r="BC68" s="138" t="s">
        <v>6</v>
      </c>
      <c r="BD68" s="139"/>
      <c r="BE68" s="139"/>
      <c r="BF68" s="139"/>
      <c r="BG68" s="139"/>
      <c r="BH68" s="139"/>
      <c r="BI68" s="139"/>
      <c r="BJ68" s="139"/>
      <c r="BK68" s="140">
        <f>SUM(BK69:BK71)</f>
        <v>0</v>
      </c>
      <c r="BL68" s="139"/>
      <c r="BM68" s="139"/>
      <c r="BN68" s="139"/>
      <c r="BO68" s="139"/>
      <c r="BP68" s="139"/>
      <c r="BQ68" s="139"/>
      <c r="BR68" s="139"/>
      <c r="BS68" s="136" t="s">
        <v>6</v>
      </c>
      <c r="BT68" s="137"/>
      <c r="BU68" s="137"/>
      <c r="BV68" s="137"/>
      <c r="BW68" s="137"/>
      <c r="BX68" s="137"/>
    </row>
    <row r="69" spans="1:253" ht="12.75">
      <c r="A69" s="132" t="s">
        <v>41</v>
      </c>
      <c r="B69" s="133"/>
      <c r="C69" s="132"/>
      <c r="D69" s="133"/>
      <c r="E69" s="133"/>
      <c r="F69" s="132" t="s">
        <v>414</v>
      </c>
      <c r="G69" s="133"/>
      <c r="H69" s="133"/>
      <c r="I69" s="133"/>
      <c r="J69" s="133"/>
      <c r="K69" s="133"/>
      <c r="L69" s="132" t="s">
        <v>798</v>
      </c>
      <c r="M69" s="133"/>
      <c r="N69" s="133"/>
      <c r="O69" s="133"/>
      <c r="P69" s="133"/>
      <c r="Q69" s="133"/>
      <c r="R69" s="133"/>
      <c r="S69" s="133"/>
      <c r="T69" s="133"/>
      <c r="U69" s="133"/>
      <c r="V69" s="133"/>
      <c r="W69" s="133"/>
      <c r="X69" s="133"/>
      <c r="Y69" s="133"/>
      <c r="Z69" s="133"/>
      <c r="AA69" s="133"/>
      <c r="AB69" s="133"/>
      <c r="AC69" s="133"/>
      <c r="AD69" s="133"/>
      <c r="AE69" s="133"/>
      <c r="AF69" s="133"/>
      <c r="AG69" s="133"/>
      <c r="AH69" s="133"/>
      <c r="AI69" s="133"/>
      <c r="AJ69" s="133"/>
      <c r="AK69" s="133"/>
      <c r="AL69" s="133"/>
      <c r="AM69" s="133"/>
      <c r="AN69" s="133"/>
      <c r="AO69" s="133"/>
      <c r="AP69" s="133"/>
      <c r="AQ69" s="133"/>
      <c r="AR69" s="133"/>
      <c r="AS69" s="133"/>
      <c r="AT69" s="133"/>
      <c r="AU69" s="133"/>
      <c r="AV69" s="132" t="s">
        <v>1151</v>
      </c>
      <c r="AW69" s="133"/>
      <c r="AX69" s="134">
        <f>'Stavební rozpočet'!F70</f>
        <v>51.726</v>
      </c>
      <c r="AY69" s="135"/>
      <c r="AZ69" s="135"/>
      <c r="BA69" s="135"/>
      <c r="BB69" s="135"/>
      <c r="BC69" s="134">
        <f>'Stavební rozpočet'!G70</f>
        <v>0</v>
      </c>
      <c r="BD69" s="135"/>
      <c r="BE69" s="135"/>
      <c r="BF69" s="135"/>
      <c r="BG69" s="135"/>
      <c r="BH69" s="135"/>
      <c r="BI69" s="135"/>
      <c r="BJ69" s="135"/>
      <c r="BK69" s="134">
        <f>IR69*AX69+IS69*AX69</f>
        <v>0</v>
      </c>
      <c r="BL69" s="135"/>
      <c r="BM69" s="135"/>
      <c r="BN69" s="135"/>
      <c r="BO69" s="135"/>
      <c r="BP69" s="135"/>
      <c r="BQ69" s="135"/>
      <c r="BR69" s="135"/>
      <c r="BS69" s="132" t="s">
        <v>1177</v>
      </c>
      <c r="BT69" s="133"/>
      <c r="BU69" s="133"/>
      <c r="BV69" s="133"/>
      <c r="BW69" s="133"/>
      <c r="BX69" s="133"/>
      <c r="IR69" s="46">
        <f>BC69*0.609756097560976</f>
        <v>0</v>
      </c>
      <c r="IS69" s="46">
        <f>BC69*(1-0.609756097560976)</f>
        <v>0</v>
      </c>
    </row>
    <row r="70" spans="1:76" ht="12.75">
      <c r="A70" s="132"/>
      <c r="B70" s="133"/>
      <c r="C70" s="133"/>
      <c r="D70" s="133"/>
      <c r="E70" s="133"/>
      <c r="F70" s="133"/>
      <c r="G70" s="133"/>
      <c r="H70" s="133"/>
      <c r="I70" s="133"/>
      <c r="J70" s="133"/>
      <c r="K70" s="133"/>
      <c r="L70" s="141" t="s">
        <v>799</v>
      </c>
      <c r="M70" s="142"/>
      <c r="N70" s="142"/>
      <c r="O70" s="142"/>
      <c r="P70" s="142"/>
      <c r="Q70" s="142"/>
      <c r="R70" s="142"/>
      <c r="S70" s="142"/>
      <c r="T70" s="142"/>
      <c r="U70" s="142"/>
      <c r="V70" s="142"/>
      <c r="W70" s="142"/>
      <c r="X70" s="142"/>
      <c r="Y70" s="142"/>
      <c r="Z70" s="142"/>
      <c r="AA70" s="142"/>
      <c r="AB70" s="142"/>
      <c r="AC70" s="142"/>
      <c r="AD70" s="142"/>
      <c r="AE70" s="142"/>
      <c r="AF70" s="142"/>
      <c r="AG70" s="142"/>
      <c r="AH70" s="142"/>
      <c r="AI70" s="142"/>
      <c r="AJ70" s="142"/>
      <c r="AK70" s="142"/>
      <c r="AL70" s="142"/>
      <c r="AM70" s="142"/>
      <c r="AN70" s="142"/>
      <c r="AO70" s="142"/>
      <c r="AP70" s="142"/>
      <c r="AQ70" s="142"/>
      <c r="AR70" s="142"/>
      <c r="AS70" s="142"/>
      <c r="AT70" s="142"/>
      <c r="AU70" s="142"/>
      <c r="AV70" s="132"/>
      <c r="AW70" s="133"/>
      <c r="AX70" s="133"/>
      <c r="AY70" s="133"/>
      <c r="AZ70" s="133"/>
      <c r="BA70" s="133"/>
      <c r="BB70" s="133"/>
      <c r="BC70" s="133"/>
      <c r="BD70" s="133"/>
      <c r="BE70" s="133"/>
      <c r="BF70" s="133"/>
      <c r="BG70" s="133"/>
      <c r="BH70" s="133"/>
      <c r="BI70" s="133"/>
      <c r="BJ70" s="133"/>
      <c r="BK70" s="133"/>
      <c r="BL70" s="133"/>
      <c r="BM70" s="133"/>
      <c r="BN70" s="133"/>
      <c r="BO70" s="133"/>
      <c r="BP70" s="133"/>
      <c r="BQ70" s="133"/>
      <c r="BR70" s="133"/>
      <c r="BS70" s="133"/>
      <c r="BT70" s="133"/>
      <c r="BU70" s="133"/>
      <c r="BV70" s="133"/>
      <c r="BW70" s="133"/>
      <c r="BX70" s="133"/>
    </row>
    <row r="71" spans="1:253" ht="12.75">
      <c r="A71" s="132" t="s">
        <v>42</v>
      </c>
      <c r="B71" s="133"/>
      <c r="C71" s="132"/>
      <c r="D71" s="133"/>
      <c r="E71" s="133"/>
      <c r="F71" s="132" t="s">
        <v>415</v>
      </c>
      <c r="G71" s="133"/>
      <c r="H71" s="133"/>
      <c r="I71" s="133"/>
      <c r="J71" s="133"/>
      <c r="K71" s="133"/>
      <c r="L71" s="132" t="s">
        <v>800</v>
      </c>
      <c r="M71" s="133"/>
      <c r="N71" s="133"/>
      <c r="O71" s="133"/>
      <c r="P71" s="133"/>
      <c r="Q71" s="133"/>
      <c r="R71" s="133"/>
      <c r="S71" s="133"/>
      <c r="T71" s="133"/>
      <c r="U71" s="133"/>
      <c r="V71" s="133"/>
      <c r="W71" s="133"/>
      <c r="X71" s="133"/>
      <c r="Y71" s="133"/>
      <c r="Z71" s="133"/>
      <c r="AA71" s="133"/>
      <c r="AB71" s="133"/>
      <c r="AC71" s="133"/>
      <c r="AD71" s="133"/>
      <c r="AE71" s="133"/>
      <c r="AF71" s="133"/>
      <c r="AG71" s="133"/>
      <c r="AH71" s="133"/>
      <c r="AI71" s="133"/>
      <c r="AJ71" s="133"/>
      <c r="AK71" s="133"/>
      <c r="AL71" s="133"/>
      <c r="AM71" s="133"/>
      <c r="AN71" s="133"/>
      <c r="AO71" s="133"/>
      <c r="AP71" s="133"/>
      <c r="AQ71" s="133"/>
      <c r="AR71" s="133"/>
      <c r="AS71" s="133"/>
      <c r="AT71" s="133"/>
      <c r="AU71" s="133"/>
      <c r="AV71" s="132" t="s">
        <v>1151</v>
      </c>
      <c r="AW71" s="133"/>
      <c r="AX71" s="134">
        <f>'Stavební rozpočet'!F72</f>
        <v>138.14</v>
      </c>
      <c r="AY71" s="135"/>
      <c r="AZ71" s="135"/>
      <c r="BA71" s="135"/>
      <c r="BB71" s="135"/>
      <c r="BC71" s="134">
        <f>'Stavební rozpočet'!G72</f>
        <v>0</v>
      </c>
      <c r="BD71" s="135"/>
      <c r="BE71" s="135"/>
      <c r="BF71" s="135"/>
      <c r="BG71" s="135"/>
      <c r="BH71" s="135"/>
      <c r="BI71" s="135"/>
      <c r="BJ71" s="135"/>
      <c r="BK71" s="134">
        <f>IR71*AX71+IS71*AX71</f>
        <v>0</v>
      </c>
      <c r="BL71" s="135"/>
      <c r="BM71" s="135"/>
      <c r="BN71" s="135"/>
      <c r="BO71" s="135"/>
      <c r="BP71" s="135"/>
      <c r="BQ71" s="135"/>
      <c r="BR71" s="135"/>
      <c r="BS71" s="132" t="s">
        <v>1177</v>
      </c>
      <c r="BT71" s="133"/>
      <c r="BU71" s="133"/>
      <c r="BV71" s="133"/>
      <c r="BW71" s="133"/>
      <c r="BX71" s="133"/>
      <c r="IR71" s="46">
        <f>BC71*0.765487209785772</f>
        <v>0</v>
      </c>
      <c r="IS71" s="46">
        <f>BC71*(1-0.765487209785772)</f>
        <v>0</v>
      </c>
    </row>
    <row r="72" spans="1:76" ht="12.75">
      <c r="A72" s="132"/>
      <c r="B72" s="133"/>
      <c r="C72" s="133"/>
      <c r="D72" s="133"/>
      <c r="E72" s="133"/>
      <c r="F72" s="133"/>
      <c r="G72" s="133"/>
      <c r="H72" s="133"/>
      <c r="I72" s="133"/>
      <c r="J72" s="133"/>
      <c r="K72" s="133"/>
      <c r="L72" s="141" t="s">
        <v>801</v>
      </c>
      <c r="M72" s="142"/>
      <c r="N72" s="142"/>
      <c r="O72" s="142"/>
      <c r="P72" s="142"/>
      <c r="Q72" s="142"/>
      <c r="R72" s="142"/>
      <c r="S72" s="142"/>
      <c r="T72" s="142"/>
      <c r="U72" s="142"/>
      <c r="V72" s="142"/>
      <c r="W72" s="142"/>
      <c r="X72" s="142"/>
      <c r="Y72" s="142"/>
      <c r="Z72" s="142"/>
      <c r="AA72" s="142"/>
      <c r="AB72" s="142"/>
      <c r="AC72" s="142"/>
      <c r="AD72" s="142"/>
      <c r="AE72" s="142"/>
      <c r="AF72" s="142"/>
      <c r="AG72" s="142"/>
      <c r="AH72" s="142"/>
      <c r="AI72" s="142"/>
      <c r="AJ72" s="142"/>
      <c r="AK72" s="142"/>
      <c r="AL72" s="142"/>
      <c r="AM72" s="142"/>
      <c r="AN72" s="142"/>
      <c r="AO72" s="142"/>
      <c r="AP72" s="142"/>
      <c r="AQ72" s="142"/>
      <c r="AR72" s="142"/>
      <c r="AS72" s="142"/>
      <c r="AT72" s="142"/>
      <c r="AU72" s="142"/>
      <c r="AV72" s="132"/>
      <c r="AW72" s="133"/>
      <c r="AX72" s="133"/>
      <c r="AY72" s="133"/>
      <c r="AZ72" s="133"/>
      <c r="BA72" s="133"/>
      <c r="BB72" s="133"/>
      <c r="BC72" s="133"/>
      <c r="BD72" s="133"/>
      <c r="BE72" s="133"/>
      <c r="BF72" s="133"/>
      <c r="BG72" s="133"/>
      <c r="BH72" s="133"/>
      <c r="BI72" s="133"/>
      <c r="BJ72" s="133"/>
      <c r="BK72" s="133"/>
      <c r="BL72" s="133"/>
      <c r="BM72" s="133"/>
      <c r="BN72" s="133"/>
      <c r="BO72" s="133"/>
      <c r="BP72" s="133"/>
      <c r="BQ72" s="133"/>
      <c r="BR72" s="133"/>
      <c r="BS72" s="133"/>
      <c r="BT72" s="133"/>
      <c r="BU72" s="133"/>
      <c r="BV72" s="133"/>
      <c r="BW72" s="133"/>
      <c r="BX72" s="133"/>
    </row>
    <row r="73" spans="1:76" ht="12.75">
      <c r="A73" s="136" t="s">
        <v>6</v>
      </c>
      <c r="B73" s="137"/>
      <c r="C73" s="136" t="s">
        <v>6</v>
      </c>
      <c r="D73" s="137"/>
      <c r="E73" s="137"/>
      <c r="F73" s="136" t="s">
        <v>97</v>
      </c>
      <c r="G73" s="137"/>
      <c r="H73" s="137"/>
      <c r="I73" s="137"/>
      <c r="J73" s="137"/>
      <c r="K73" s="137"/>
      <c r="L73" s="136" t="s">
        <v>802</v>
      </c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  <c r="AC73" s="137"/>
      <c r="AD73" s="137"/>
      <c r="AE73" s="137"/>
      <c r="AF73" s="137"/>
      <c r="AG73" s="137"/>
      <c r="AH73" s="137"/>
      <c r="AI73" s="137"/>
      <c r="AJ73" s="137"/>
      <c r="AK73" s="137"/>
      <c r="AL73" s="137"/>
      <c r="AM73" s="137"/>
      <c r="AN73" s="137"/>
      <c r="AO73" s="137"/>
      <c r="AP73" s="137"/>
      <c r="AQ73" s="137"/>
      <c r="AR73" s="137"/>
      <c r="AS73" s="137"/>
      <c r="AT73" s="137"/>
      <c r="AU73" s="137"/>
      <c r="AV73" s="136" t="s">
        <v>6</v>
      </c>
      <c r="AW73" s="137"/>
      <c r="AX73" s="138" t="s">
        <v>6</v>
      </c>
      <c r="AY73" s="139"/>
      <c r="AZ73" s="139"/>
      <c r="BA73" s="139"/>
      <c r="BB73" s="139"/>
      <c r="BC73" s="138" t="s">
        <v>6</v>
      </c>
      <c r="BD73" s="139"/>
      <c r="BE73" s="139"/>
      <c r="BF73" s="139"/>
      <c r="BG73" s="139"/>
      <c r="BH73" s="139"/>
      <c r="BI73" s="139"/>
      <c r="BJ73" s="139"/>
      <c r="BK73" s="140">
        <f>SUM(BK74:BK74)</f>
        <v>0</v>
      </c>
      <c r="BL73" s="139"/>
      <c r="BM73" s="139"/>
      <c r="BN73" s="139"/>
      <c r="BO73" s="139"/>
      <c r="BP73" s="139"/>
      <c r="BQ73" s="139"/>
      <c r="BR73" s="139"/>
      <c r="BS73" s="136" t="s">
        <v>6</v>
      </c>
      <c r="BT73" s="137"/>
      <c r="BU73" s="137"/>
      <c r="BV73" s="137"/>
      <c r="BW73" s="137"/>
      <c r="BX73" s="137"/>
    </row>
    <row r="74" spans="1:253" ht="12.75">
      <c r="A74" s="132" t="s">
        <v>43</v>
      </c>
      <c r="B74" s="133"/>
      <c r="C74" s="132"/>
      <c r="D74" s="133"/>
      <c r="E74" s="133"/>
      <c r="F74" s="132" t="s">
        <v>416</v>
      </c>
      <c r="G74" s="133"/>
      <c r="H74" s="133"/>
      <c r="I74" s="133"/>
      <c r="J74" s="133"/>
      <c r="K74" s="133"/>
      <c r="L74" s="132" t="s">
        <v>803</v>
      </c>
      <c r="M74" s="133"/>
      <c r="N74" s="133"/>
      <c r="O74" s="133"/>
      <c r="P74" s="133"/>
      <c r="Q74" s="133"/>
      <c r="R74" s="133"/>
      <c r="S74" s="133"/>
      <c r="T74" s="133"/>
      <c r="U74" s="133"/>
      <c r="V74" s="133"/>
      <c r="W74" s="133"/>
      <c r="X74" s="133"/>
      <c r="Y74" s="133"/>
      <c r="Z74" s="133"/>
      <c r="AA74" s="133"/>
      <c r="AB74" s="133"/>
      <c r="AC74" s="133"/>
      <c r="AD74" s="133"/>
      <c r="AE74" s="133"/>
      <c r="AF74" s="133"/>
      <c r="AG74" s="133"/>
      <c r="AH74" s="133"/>
      <c r="AI74" s="133"/>
      <c r="AJ74" s="133"/>
      <c r="AK74" s="133"/>
      <c r="AL74" s="133"/>
      <c r="AM74" s="133"/>
      <c r="AN74" s="133"/>
      <c r="AO74" s="133"/>
      <c r="AP74" s="133"/>
      <c r="AQ74" s="133"/>
      <c r="AR74" s="133"/>
      <c r="AS74" s="133"/>
      <c r="AT74" s="133"/>
      <c r="AU74" s="133"/>
      <c r="AV74" s="132" t="s">
        <v>1154</v>
      </c>
      <c r="AW74" s="133"/>
      <c r="AX74" s="134">
        <f>'Stavební rozpočet'!F75</f>
        <v>76.86</v>
      </c>
      <c r="AY74" s="135"/>
      <c r="AZ74" s="135"/>
      <c r="BA74" s="135"/>
      <c r="BB74" s="135"/>
      <c r="BC74" s="134">
        <f>'Stavební rozpočet'!G75</f>
        <v>0</v>
      </c>
      <c r="BD74" s="135"/>
      <c r="BE74" s="135"/>
      <c r="BF74" s="135"/>
      <c r="BG74" s="135"/>
      <c r="BH74" s="135"/>
      <c r="BI74" s="135"/>
      <c r="BJ74" s="135"/>
      <c r="BK74" s="134">
        <f>IR74*AX74+IS74*AX74</f>
        <v>0</v>
      </c>
      <c r="BL74" s="135"/>
      <c r="BM74" s="135"/>
      <c r="BN74" s="135"/>
      <c r="BO74" s="135"/>
      <c r="BP74" s="135"/>
      <c r="BQ74" s="135"/>
      <c r="BR74" s="135"/>
      <c r="BS74" s="132" t="s">
        <v>1177</v>
      </c>
      <c r="BT74" s="133"/>
      <c r="BU74" s="133"/>
      <c r="BV74" s="133"/>
      <c r="BW74" s="133"/>
      <c r="BX74" s="133"/>
      <c r="IR74" s="46">
        <f>BC74*0.568927038626609</f>
        <v>0</v>
      </c>
      <c r="IS74" s="46">
        <f>BC74*(1-0.568927038626609)</f>
        <v>0</v>
      </c>
    </row>
    <row r="75" spans="1:76" ht="12.75">
      <c r="A75" s="136" t="s">
        <v>6</v>
      </c>
      <c r="B75" s="137"/>
      <c r="C75" s="136" t="s">
        <v>6</v>
      </c>
      <c r="D75" s="137"/>
      <c r="E75" s="137"/>
      <c r="F75" s="136" t="s">
        <v>100</v>
      </c>
      <c r="G75" s="137"/>
      <c r="H75" s="137"/>
      <c r="I75" s="137"/>
      <c r="J75" s="137"/>
      <c r="K75" s="137"/>
      <c r="L75" s="136" t="s">
        <v>804</v>
      </c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7"/>
      <c r="AB75" s="137"/>
      <c r="AC75" s="137"/>
      <c r="AD75" s="137"/>
      <c r="AE75" s="137"/>
      <c r="AF75" s="137"/>
      <c r="AG75" s="137"/>
      <c r="AH75" s="137"/>
      <c r="AI75" s="137"/>
      <c r="AJ75" s="137"/>
      <c r="AK75" s="137"/>
      <c r="AL75" s="137"/>
      <c r="AM75" s="137"/>
      <c r="AN75" s="137"/>
      <c r="AO75" s="137"/>
      <c r="AP75" s="137"/>
      <c r="AQ75" s="137"/>
      <c r="AR75" s="137"/>
      <c r="AS75" s="137"/>
      <c r="AT75" s="137"/>
      <c r="AU75" s="137"/>
      <c r="AV75" s="136" t="s">
        <v>6</v>
      </c>
      <c r="AW75" s="137"/>
      <c r="AX75" s="138" t="s">
        <v>6</v>
      </c>
      <c r="AY75" s="139"/>
      <c r="AZ75" s="139"/>
      <c r="BA75" s="139"/>
      <c r="BB75" s="139"/>
      <c r="BC75" s="138" t="s">
        <v>6</v>
      </c>
      <c r="BD75" s="139"/>
      <c r="BE75" s="139"/>
      <c r="BF75" s="139"/>
      <c r="BG75" s="139"/>
      <c r="BH75" s="139"/>
      <c r="BI75" s="139"/>
      <c r="BJ75" s="139"/>
      <c r="BK75" s="140">
        <f>SUM(BK76:BK77)</f>
        <v>0</v>
      </c>
      <c r="BL75" s="139"/>
      <c r="BM75" s="139"/>
      <c r="BN75" s="139"/>
      <c r="BO75" s="139"/>
      <c r="BP75" s="139"/>
      <c r="BQ75" s="139"/>
      <c r="BR75" s="139"/>
      <c r="BS75" s="136" t="s">
        <v>6</v>
      </c>
      <c r="BT75" s="137"/>
      <c r="BU75" s="137"/>
      <c r="BV75" s="137"/>
      <c r="BW75" s="137"/>
      <c r="BX75" s="137"/>
    </row>
    <row r="76" spans="1:253" ht="12.75">
      <c r="A76" s="132" t="s">
        <v>44</v>
      </c>
      <c r="B76" s="133"/>
      <c r="C76" s="132"/>
      <c r="D76" s="133"/>
      <c r="E76" s="133"/>
      <c r="F76" s="132" t="s">
        <v>417</v>
      </c>
      <c r="G76" s="133"/>
      <c r="H76" s="133"/>
      <c r="I76" s="133"/>
      <c r="J76" s="133"/>
      <c r="K76" s="133"/>
      <c r="L76" s="132" t="s">
        <v>805</v>
      </c>
      <c r="M76" s="133"/>
      <c r="N76" s="133"/>
      <c r="O76" s="133"/>
      <c r="P76" s="133"/>
      <c r="Q76" s="133"/>
      <c r="R76" s="133"/>
      <c r="S76" s="133"/>
      <c r="T76" s="133"/>
      <c r="U76" s="133"/>
      <c r="V76" s="133"/>
      <c r="W76" s="133"/>
      <c r="X76" s="133"/>
      <c r="Y76" s="133"/>
      <c r="Z76" s="133"/>
      <c r="AA76" s="133"/>
      <c r="AB76" s="133"/>
      <c r="AC76" s="133"/>
      <c r="AD76" s="133"/>
      <c r="AE76" s="133"/>
      <c r="AF76" s="133"/>
      <c r="AG76" s="133"/>
      <c r="AH76" s="133"/>
      <c r="AI76" s="133"/>
      <c r="AJ76" s="133"/>
      <c r="AK76" s="133"/>
      <c r="AL76" s="133"/>
      <c r="AM76" s="133"/>
      <c r="AN76" s="133"/>
      <c r="AO76" s="133"/>
      <c r="AP76" s="133"/>
      <c r="AQ76" s="133"/>
      <c r="AR76" s="133"/>
      <c r="AS76" s="133"/>
      <c r="AT76" s="133"/>
      <c r="AU76" s="133"/>
      <c r="AV76" s="132" t="s">
        <v>1151</v>
      </c>
      <c r="AW76" s="133"/>
      <c r="AX76" s="134">
        <f>'Stavební rozpočet'!F77</f>
        <v>50</v>
      </c>
      <c r="AY76" s="135"/>
      <c r="AZ76" s="135"/>
      <c r="BA76" s="135"/>
      <c r="BB76" s="135"/>
      <c r="BC76" s="134">
        <f>'Stavební rozpočet'!G77</f>
        <v>0</v>
      </c>
      <c r="BD76" s="135"/>
      <c r="BE76" s="135"/>
      <c r="BF76" s="135"/>
      <c r="BG76" s="135"/>
      <c r="BH76" s="135"/>
      <c r="BI76" s="135"/>
      <c r="BJ76" s="135"/>
      <c r="BK76" s="134">
        <f>IR76*AX76+IS76*AX76</f>
        <v>0</v>
      </c>
      <c r="BL76" s="135"/>
      <c r="BM76" s="135"/>
      <c r="BN76" s="135"/>
      <c r="BO76" s="135"/>
      <c r="BP76" s="135"/>
      <c r="BQ76" s="135"/>
      <c r="BR76" s="135"/>
      <c r="BS76" s="132" t="s">
        <v>1177</v>
      </c>
      <c r="BT76" s="133"/>
      <c r="BU76" s="133"/>
      <c r="BV76" s="133"/>
      <c r="BW76" s="133"/>
      <c r="BX76" s="133"/>
      <c r="IR76" s="46">
        <f>BC76*0.377163745833781</f>
        <v>0</v>
      </c>
      <c r="IS76" s="46">
        <f>BC76*(1-0.377163745833781)</f>
        <v>0</v>
      </c>
    </row>
    <row r="77" spans="1:253" ht="12.75">
      <c r="A77" s="132" t="s">
        <v>45</v>
      </c>
      <c r="B77" s="133"/>
      <c r="C77" s="132"/>
      <c r="D77" s="133"/>
      <c r="E77" s="133"/>
      <c r="F77" s="132" t="s">
        <v>418</v>
      </c>
      <c r="G77" s="133"/>
      <c r="H77" s="133"/>
      <c r="I77" s="133"/>
      <c r="J77" s="133"/>
      <c r="K77" s="133"/>
      <c r="L77" s="132" t="s">
        <v>806</v>
      </c>
      <c r="M77" s="133"/>
      <c r="N77" s="133"/>
      <c r="O77" s="133"/>
      <c r="P77" s="133"/>
      <c r="Q77" s="133"/>
      <c r="R77" s="133"/>
      <c r="S77" s="133"/>
      <c r="T77" s="133"/>
      <c r="U77" s="133"/>
      <c r="V77" s="133"/>
      <c r="W77" s="133"/>
      <c r="X77" s="133"/>
      <c r="Y77" s="133"/>
      <c r="Z77" s="133"/>
      <c r="AA77" s="133"/>
      <c r="AB77" s="133"/>
      <c r="AC77" s="133"/>
      <c r="AD77" s="133"/>
      <c r="AE77" s="133"/>
      <c r="AF77" s="133"/>
      <c r="AG77" s="133"/>
      <c r="AH77" s="133"/>
      <c r="AI77" s="133"/>
      <c r="AJ77" s="133"/>
      <c r="AK77" s="133"/>
      <c r="AL77" s="133"/>
      <c r="AM77" s="133"/>
      <c r="AN77" s="133"/>
      <c r="AO77" s="133"/>
      <c r="AP77" s="133"/>
      <c r="AQ77" s="133"/>
      <c r="AR77" s="133"/>
      <c r="AS77" s="133"/>
      <c r="AT77" s="133"/>
      <c r="AU77" s="133"/>
      <c r="AV77" s="132" t="s">
        <v>1151</v>
      </c>
      <c r="AW77" s="133"/>
      <c r="AX77" s="134">
        <f>'Stavební rozpočet'!F78</f>
        <v>30</v>
      </c>
      <c r="AY77" s="135"/>
      <c r="AZ77" s="135"/>
      <c r="BA77" s="135"/>
      <c r="BB77" s="135"/>
      <c r="BC77" s="134">
        <f>'Stavební rozpočet'!G78</f>
        <v>0</v>
      </c>
      <c r="BD77" s="135"/>
      <c r="BE77" s="135"/>
      <c r="BF77" s="135"/>
      <c r="BG77" s="135"/>
      <c r="BH77" s="135"/>
      <c r="BI77" s="135"/>
      <c r="BJ77" s="135"/>
      <c r="BK77" s="134">
        <f>IR77*AX77+IS77*AX77</f>
        <v>0</v>
      </c>
      <c r="BL77" s="135"/>
      <c r="BM77" s="135"/>
      <c r="BN77" s="135"/>
      <c r="BO77" s="135"/>
      <c r="BP77" s="135"/>
      <c r="BQ77" s="135"/>
      <c r="BR77" s="135"/>
      <c r="BS77" s="132" t="s">
        <v>1177</v>
      </c>
      <c r="BT77" s="133"/>
      <c r="BU77" s="133"/>
      <c r="BV77" s="133"/>
      <c r="BW77" s="133"/>
      <c r="BX77" s="133"/>
      <c r="IR77" s="46">
        <f>BC77*0.469</f>
        <v>0</v>
      </c>
      <c r="IS77" s="46">
        <f>BC77*(1-0.469)</f>
        <v>0</v>
      </c>
    </row>
    <row r="78" spans="1:76" ht="12.75">
      <c r="A78" s="136" t="s">
        <v>6</v>
      </c>
      <c r="B78" s="137"/>
      <c r="C78" s="136" t="s">
        <v>6</v>
      </c>
      <c r="D78" s="137"/>
      <c r="E78" s="137"/>
      <c r="F78" s="136" t="s">
        <v>101</v>
      </c>
      <c r="G78" s="137"/>
      <c r="H78" s="137"/>
      <c r="I78" s="137"/>
      <c r="J78" s="137"/>
      <c r="K78" s="137"/>
      <c r="L78" s="136" t="s">
        <v>807</v>
      </c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37"/>
      <c r="AD78" s="137"/>
      <c r="AE78" s="137"/>
      <c r="AF78" s="137"/>
      <c r="AG78" s="137"/>
      <c r="AH78" s="137"/>
      <c r="AI78" s="137"/>
      <c r="AJ78" s="137"/>
      <c r="AK78" s="137"/>
      <c r="AL78" s="137"/>
      <c r="AM78" s="137"/>
      <c r="AN78" s="137"/>
      <c r="AO78" s="137"/>
      <c r="AP78" s="137"/>
      <c r="AQ78" s="137"/>
      <c r="AR78" s="137"/>
      <c r="AS78" s="137"/>
      <c r="AT78" s="137"/>
      <c r="AU78" s="137"/>
      <c r="AV78" s="136" t="s">
        <v>6</v>
      </c>
      <c r="AW78" s="137"/>
      <c r="AX78" s="138" t="s">
        <v>6</v>
      </c>
      <c r="AY78" s="139"/>
      <c r="AZ78" s="139"/>
      <c r="BA78" s="139"/>
      <c r="BB78" s="139"/>
      <c r="BC78" s="138" t="s">
        <v>6</v>
      </c>
      <c r="BD78" s="139"/>
      <c r="BE78" s="139"/>
      <c r="BF78" s="139"/>
      <c r="BG78" s="139"/>
      <c r="BH78" s="139"/>
      <c r="BI78" s="139"/>
      <c r="BJ78" s="139"/>
      <c r="BK78" s="140">
        <f>SUM(BK79:BK82)</f>
        <v>0</v>
      </c>
      <c r="BL78" s="139"/>
      <c r="BM78" s="139"/>
      <c r="BN78" s="139"/>
      <c r="BO78" s="139"/>
      <c r="BP78" s="139"/>
      <c r="BQ78" s="139"/>
      <c r="BR78" s="139"/>
      <c r="BS78" s="136" t="s">
        <v>6</v>
      </c>
      <c r="BT78" s="137"/>
      <c r="BU78" s="137"/>
      <c r="BV78" s="137"/>
      <c r="BW78" s="137"/>
      <c r="BX78" s="137"/>
    </row>
    <row r="79" spans="1:253" ht="12.75">
      <c r="A79" s="132" t="s">
        <v>46</v>
      </c>
      <c r="B79" s="133"/>
      <c r="C79" s="132"/>
      <c r="D79" s="133"/>
      <c r="E79" s="133"/>
      <c r="F79" s="132" t="s">
        <v>419</v>
      </c>
      <c r="G79" s="133"/>
      <c r="H79" s="133"/>
      <c r="I79" s="133"/>
      <c r="J79" s="133"/>
      <c r="K79" s="133"/>
      <c r="L79" s="132" t="s">
        <v>808</v>
      </c>
      <c r="M79" s="133"/>
      <c r="N79" s="133"/>
      <c r="O79" s="133"/>
      <c r="P79" s="133"/>
      <c r="Q79" s="133"/>
      <c r="R79" s="133"/>
      <c r="S79" s="133"/>
      <c r="T79" s="133"/>
      <c r="U79" s="133"/>
      <c r="V79" s="133"/>
      <c r="W79" s="133"/>
      <c r="X79" s="133"/>
      <c r="Y79" s="133"/>
      <c r="Z79" s="133"/>
      <c r="AA79" s="133"/>
      <c r="AB79" s="133"/>
      <c r="AC79" s="133"/>
      <c r="AD79" s="133"/>
      <c r="AE79" s="133"/>
      <c r="AF79" s="133"/>
      <c r="AG79" s="133"/>
      <c r="AH79" s="133"/>
      <c r="AI79" s="133"/>
      <c r="AJ79" s="133"/>
      <c r="AK79" s="133"/>
      <c r="AL79" s="133"/>
      <c r="AM79" s="133"/>
      <c r="AN79" s="133"/>
      <c r="AO79" s="133"/>
      <c r="AP79" s="133"/>
      <c r="AQ79" s="133"/>
      <c r="AR79" s="133"/>
      <c r="AS79" s="133"/>
      <c r="AT79" s="133"/>
      <c r="AU79" s="133"/>
      <c r="AV79" s="132" t="s">
        <v>1155</v>
      </c>
      <c r="AW79" s="133"/>
      <c r="AX79" s="134">
        <f>'Stavební rozpočet'!F80</f>
        <v>10</v>
      </c>
      <c r="AY79" s="135"/>
      <c r="AZ79" s="135"/>
      <c r="BA79" s="135"/>
      <c r="BB79" s="135"/>
      <c r="BC79" s="134">
        <f>'Stavební rozpočet'!G80</f>
        <v>0</v>
      </c>
      <c r="BD79" s="135"/>
      <c r="BE79" s="135"/>
      <c r="BF79" s="135"/>
      <c r="BG79" s="135"/>
      <c r="BH79" s="135"/>
      <c r="BI79" s="135"/>
      <c r="BJ79" s="135"/>
      <c r="BK79" s="134">
        <f>IR79*AX79+IS79*AX79</f>
        <v>0</v>
      </c>
      <c r="BL79" s="135"/>
      <c r="BM79" s="135"/>
      <c r="BN79" s="135"/>
      <c r="BO79" s="135"/>
      <c r="BP79" s="135"/>
      <c r="BQ79" s="135"/>
      <c r="BR79" s="135"/>
      <c r="BS79" s="132" t="s">
        <v>1177</v>
      </c>
      <c r="BT79" s="133"/>
      <c r="BU79" s="133"/>
      <c r="BV79" s="133"/>
      <c r="BW79" s="133"/>
      <c r="BX79" s="133"/>
      <c r="IR79" s="46">
        <f>BC79*0.442103448275862</f>
        <v>0</v>
      </c>
      <c r="IS79" s="46">
        <f>BC79*(1-0.442103448275862)</f>
        <v>0</v>
      </c>
    </row>
    <row r="80" spans="1:253" ht="12.75">
      <c r="A80" s="132" t="s">
        <v>47</v>
      </c>
      <c r="B80" s="133"/>
      <c r="C80" s="132"/>
      <c r="D80" s="133"/>
      <c r="E80" s="133"/>
      <c r="F80" s="132" t="s">
        <v>420</v>
      </c>
      <c r="G80" s="133"/>
      <c r="H80" s="133"/>
      <c r="I80" s="133"/>
      <c r="J80" s="133"/>
      <c r="K80" s="133"/>
      <c r="L80" s="132" t="s">
        <v>809</v>
      </c>
      <c r="M80" s="133"/>
      <c r="N80" s="133"/>
      <c r="O80" s="133"/>
      <c r="P80" s="133"/>
      <c r="Q80" s="133"/>
      <c r="R80" s="133"/>
      <c r="S80" s="133"/>
      <c r="T80" s="133"/>
      <c r="U80" s="133"/>
      <c r="V80" s="133"/>
      <c r="W80" s="133"/>
      <c r="X80" s="133"/>
      <c r="Y80" s="133"/>
      <c r="Z80" s="133"/>
      <c r="AA80" s="133"/>
      <c r="AB80" s="133"/>
      <c r="AC80" s="133"/>
      <c r="AD80" s="133"/>
      <c r="AE80" s="133"/>
      <c r="AF80" s="133"/>
      <c r="AG80" s="133"/>
      <c r="AH80" s="133"/>
      <c r="AI80" s="133"/>
      <c r="AJ80" s="133"/>
      <c r="AK80" s="133"/>
      <c r="AL80" s="133"/>
      <c r="AM80" s="133"/>
      <c r="AN80" s="133"/>
      <c r="AO80" s="133"/>
      <c r="AP80" s="133"/>
      <c r="AQ80" s="133"/>
      <c r="AR80" s="133"/>
      <c r="AS80" s="133"/>
      <c r="AT80" s="133"/>
      <c r="AU80" s="133"/>
      <c r="AV80" s="132" t="s">
        <v>1155</v>
      </c>
      <c r="AW80" s="133"/>
      <c r="AX80" s="134">
        <f>'Stavební rozpočet'!F81</f>
        <v>1</v>
      </c>
      <c r="AY80" s="135"/>
      <c r="AZ80" s="135"/>
      <c r="BA80" s="135"/>
      <c r="BB80" s="135"/>
      <c r="BC80" s="134">
        <f>'Stavební rozpočet'!G81</f>
        <v>0</v>
      </c>
      <c r="BD80" s="135"/>
      <c r="BE80" s="135"/>
      <c r="BF80" s="135"/>
      <c r="BG80" s="135"/>
      <c r="BH80" s="135"/>
      <c r="BI80" s="135"/>
      <c r="BJ80" s="135"/>
      <c r="BK80" s="134">
        <f>IR80*AX80+IS80*AX80</f>
        <v>0</v>
      </c>
      <c r="BL80" s="135"/>
      <c r="BM80" s="135"/>
      <c r="BN80" s="135"/>
      <c r="BO80" s="135"/>
      <c r="BP80" s="135"/>
      <c r="BQ80" s="135"/>
      <c r="BR80" s="135"/>
      <c r="BS80" s="132" t="s">
        <v>1177</v>
      </c>
      <c r="BT80" s="133"/>
      <c r="BU80" s="133"/>
      <c r="BV80" s="133"/>
      <c r="BW80" s="133"/>
      <c r="BX80" s="133"/>
      <c r="IR80" s="46">
        <f>BC80*0.442116883116883</f>
        <v>0</v>
      </c>
      <c r="IS80" s="46">
        <f>BC80*(1-0.442116883116883)</f>
        <v>0</v>
      </c>
    </row>
    <row r="81" spans="1:253" ht="12.75">
      <c r="A81" s="132" t="s">
        <v>48</v>
      </c>
      <c r="B81" s="133"/>
      <c r="C81" s="132"/>
      <c r="D81" s="133"/>
      <c r="E81" s="133"/>
      <c r="F81" s="132" t="s">
        <v>421</v>
      </c>
      <c r="G81" s="133"/>
      <c r="H81" s="133"/>
      <c r="I81" s="133"/>
      <c r="J81" s="133"/>
      <c r="K81" s="133"/>
      <c r="L81" s="132" t="s">
        <v>810</v>
      </c>
      <c r="M81" s="133"/>
      <c r="N81" s="133"/>
      <c r="O81" s="133"/>
      <c r="P81" s="133"/>
      <c r="Q81" s="133"/>
      <c r="R81" s="133"/>
      <c r="S81" s="133"/>
      <c r="T81" s="133"/>
      <c r="U81" s="133"/>
      <c r="V81" s="133"/>
      <c r="W81" s="133"/>
      <c r="X81" s="133"/>
      <c r="Y81" s="133"/>
      <c r="Z81" s="133"/>
      <c r="AA81" s="133"/>
      <c r="AB81" s="133"/>
      <c r="AC81" s="133"/>
      <c r="AD81" s="133"/>
      <c r="AE81" s="133"/>
      <c r="AF81" s="133"/>
      <c r="AG81" s="133"/>
      <c r="AH81" s="133"/>
      <c r="AI81" s="133"/>
      <c r="AJ81" s="133"/>
      <c r="AK81" s="133"/>
      <c r="AL81" s="133"/>
      <c r="AM81" s="133"/>
      <c r="AN81" s="133"/>
      <c r="AO81" s="133"/>
      <c r="AP81" s="133"/>
      <c r="AQ81" s="133"/>
      <c r="AR81" s="133"/>
      <c r="AS81" s="133"/>
      <c r="AT81" s="133"/>
      <c r="AU81" s="133"/>
      <c r="AV81" s="132" t="s">
        <v>1151</v>
      </c>
      <c r="AW81" s="133"/>
      <c r="AX81" s="134">
        <f>'Stavební rozpočet'!F82</f>
        <v>22.939</v>
      </c>
      <c r="AY81" s="135"/>
      <c r="AZ81" s="135"/>
      <c r="BA81" s="135"/>
      <c r="BB81" s="135"/>
      <c r="BC81" s="134">
        <f>'Stavební rozpočet'!G82</f>
        <v>0</v>
      </c>
      <c r="BD81" s="135"/>
      <c r="BE81" s="135"/>
      <c r="BF81" s="135"/>
      <c r="BG81" s="135"/>
      <c r="BH81" s="135"/>
      <c r="BI81" s="135"/>
      <c r="BJ81" s="135"/>
      <c r="BK81" s="134">
        <f>IR81*AX81+IS81*AX81</f>
        <v>0</v>
      </c>
      <c r="BL81" s="135"/>
      <c r="BM81" s="135"/>
      <c r="BN81" s="135"/>
      <c r="BO81" s="135"/>
      <c r="BP81" s="135"/>
      <c r="BQ81" s="135"/>
      <c r="BR81" s="135"/>
      <c r="BS81" s="132" t="s">
        <v>1177</v>
      </c>
      <c r="BT81" s="133"/>
      <c r="BU81" s="133"/>
      <c r="BV81" s="133"/>
      <c r="BW81" s="133"/>
      <c r="BX81" s="133"/>
      <c r="IR81" s="46">
        <f>BC81*0.0242072137496974</f>
        <v>0</v>
      </c>
      <c r="IS81" s="46">
        <f>BC81*(1-0.0242072137496974)</f>
        <v>0</v>
      </c>
    </row>
    <row r="82" spans="1:253" ht="12.75">
      <c r="A82" s="132" t="s">
        <v>49</v>
      </c>
      <c r="B82" s="133"/>
      <c r="C82" s="132"/>
      <c r="D82" s="133"/>
      <c r="E82" s="133"/>
      <c r="F82" s="132" t="s">
        <v>422</v>
      </c>
      <c r="G82" s="133"/>
      <c r="H82" s="133"/>
      <c r="I82" s="133"/>
      <c r="J82" s="133"/>
      <c r="K82" s="133"/>
      <c r="L82" s="132" t="s">
        <v>811</v>
      </c>
      <c r="M82" s="133"/>
      <c r="N82" s="133"/>
      <c r="O82" s="133"/>
      <c r="P82" s="133"/>
      <c r="Q82" s="133"/>
      <c r="R82" s="133"/>
      <c r="S82" s="133"/>
      <c r="T82" s="133"/>
      <c r="U82" s="133"/>
      <c r="V82" s="133"/>
      <c r="W82" s="133"/>
      <c r="X82" s="133"/>
      <c r="Y82" s="133"/>
      <c r="Z82" s="133"/>
      <c r="AA82" s="133"/>
      <c r="AB82" s="133"/>
      <c r="AC82" s="133"/>
      <c r="AD82" s="133"/>
      <c r="AE82" s="133"/>
      <c r="AF82" s="133"/>
      <c r="AG82" s="133"/>
      <c r="AH82" s="133"/>
      <c r="AI82" s="133"/>
      <c r="AJ82" s="133"/>
      <c r="AK82" s="133"/>
      <c r="AL82" s="133"/>
      <c r="AM82" s="133"/>
      <c r="AN82" s="133"/>
      <c r="AO82" s="133"/>
      <c r="AP82" s="133"/>
      <c r="AQ82" s="133"/>
      <c r="AR82" s="133"/>
      <c r="AS82" s="133"/>
      <c r="AT82" s="133"/>
      <c r="AU82" s="133"/>
      <c r="AV82" s="132" t="s">
        <v>1151</v>
      </c>
      <c r="AW82" s="133"/>
      <c r="AX82" s="134">
        <f>'Stavební rozpočet'!F83</f>
        <v>40.91</v>
      </c>
      <c r="AY82" s="135"/>
      <c r="AZ82" s="135"/>
      <c r="BA82" s="135"/>
      <c r="BB82" s="135"/>
      <c r="BC82" s="134">
        <f>'Stavební rozpočet'!G83</f>
        <v>0</v>
      </c>
      <c r="BD82" s="135"/>
      <c r="BE82" s="135"/>
      <c r="BF82" s="135"/>
      <c r="BG82" s="135"/>
      <c r="BH82" s="135"/>
      <c r="BI82" s="135"/>
      <c r="BJ82" s="135"/>
      <c r="BK82" s="134">
        <f>IR82*AX82+IS82*AX82</f>
        <v>0</v>
      </c>
      <c r="BL82" s="135"/>
      <c r="BM82" s="135"/>
      <c r="BN82" s="135"/>
      <c r="BO82" s="135"/>
      <c r="BP82" s="135"/>
      <c r="BQ82" s="135"/>
      <c r="BR82" s="135"/>
      <c r="BS82" s="132" t="s">
        <v>1177</v>
      </c>
      <c r="BT82" s="133"/>
      <c r="BU82" s="133"/>
      <c r="BV82" s="133"/>
      <c r="BW82" s="133"/>
      <c r="BX82" s="133"/>
      <c r="IR82" s="46">
        <f>BC82*0.0149096649710577</f>
        <v>0</v>
      </c>
      <c r="IS82" s="46">
        <f>BC82*(1-0.0149096649710577)</f>
        <v>0</v>
      </c>
    </row>
    <row r="83" spans="1:76" ht="12.75">
      <c r="A83" s="136" t="s">
        <v>6</v>
      </c>
      <c r="B83" s="137"/>
      <c r="C83" s="136" t="s">
        <v>6</v>
      </c>
      <c r="D83" s="137"/>
      <c r="E83" s="137"/>
      <c r="F83" s="136" t="s">
        <v>102</v>
      </c>
      <c r="G83" s="137"/>
      <c r="H83" s="137"/>
      <c r="I83" s="137"/>
      <c r="J83" s="137"/>
      <c r="K83" s="137"/>
      <c r="L83" s="136" t="s">
        <v>812</v>
      </c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137"/>
      <c r="AM83" s="137"/>
      <c r="AN83" s="137"/>
      <c r="AO83" s="137"/>
      <c r="AP83" s="137"/>
      <c r="AQ83" s="137"/>
      <c r="AR83" s="137"/>
      <c r="AS83" s="137"/>
      <c r="AT83" s="137"/>
      <c r="AU83" s="137"/>
      <c r="AV83" s="136" t="s">
        <v>6</v>
      </c>
      <c r="AW83" s="137"/>
      <c r="AX83" s="138" t="s">
        <v>6</v>
      </c>
      <c r="AY83" s="139"/>
      <c r="AZ83" s="139"/>
      <c r="BA83" s="139"/>
      <c r="BB83" s="139"/>
      <c r="BC83" s="138" t="s">
        <v>6</v>
      </c>
      <c r="BD83" s="139"/>
      <c r="BE83" s="139"/>
      <c r="BF83" s="139"/>
      <c r="BG83" s="139"/>
      <c r="BH83" s="139"/>
      <c r="BI83" s="139"/>
      <c r="BJ83" s="139"/>
      <c r="BK83" s="140">
        <f>SUM(BK84:BK85)</f>
        <v>0</v>
      </c>
      <c r="BL83" s="139"/>
      <c r="BM83" s="139"/>
      <c r="BN83" s="139"/>
      <c r="BO83" s="139"/>
      <c r="BP83" s="139"/>
      <c r="BQ83" s="139"/>
      <c r="BR83" s="139"/>
      <c r="BS83" s="136" t="s">
        <v>6</v>
      </c>
      <c r="BT83" s="137"/>
      <c r="BU83" s="137"/>
      <c r="BV83" s="137"/>
      <c r="BW83" s="137"/>
      <c r="BX83" s="137"/>
    </row>
    <row r="84" spans="1:253" ht="12.75">
      <c r="A84" s="132" t="s">
        <v>50</v>
      </c>
      <c r="B84" s="133"/>
      <c r="C84" s="132"/>
      <c r="D84" s="133"/>
      <c r="E84" s="133"/>
      <c r="F84" s="132" t="s">
        <v>423</v>
      </c>
      <c r="G84" s="133"/>
      <c r="H84" s="133"/>
      <c r="I84" s="133"/>
      <c r="J84" s="133"/>
      <c r="K84" s="133"/>
      <c r="L84" s="132" t="s">
        <v>813</v>
      </c>
      <c r="M84" s="133"/>
      <c r="N84" s="133"/>
      <c r="O84" s="133"/>
      <c r="P84" s="133"/>
      <c r="Q84" s="133"/>
      <c r="R84" s="133"/>
      <c r="S84" s="133"/>
      <c r="T84" s="133"/>
      <c r="U84" s="133"/>
      <c r="V84" s="133"/>
      <c r="W84" s="133"/>
      <c r="X84" s="133"/>
      <c r="Y84" s="133"/>
      <c r="Z84" s="133"/>
      <c r="AA84" s="133"/>
      <c r="AB84" s="133"/>
      <c r="AC84" s="133"/>
      <c r="AD84" s="133"/>
      <c r="AE84" s="133"/>
      <c r="AF84" s="133"/>
      <c r="AG84" s="133"/>
      <c r="AH84" s="133"/>
      <c r="AI84" s="133"/>
      <c r="AJ84" s="133"/>
      <c r="AK84" s="133"/>
      <c r="AL84" s="133"/>
      <c r="AM84" s="133"/>
      <c r="AN84" s="133"/>
      <c r="AO84" s="133"/>
      <c r="AP84" s="133"/>
      <c r="AQ84" s="133"/>
      <c r="AR84" s="133"/>
      <c r="AS84" s="133"/>
      <c r="AT84" s="133"/>
      <c r="AU84" s="133"/>
      <c r="AV84" s="132" t="s">
        <v>1150</v>
      </c>
      <c r="AW84" s="133"/>
      <c r="AX84" s="134">
        <f>'Stavební rozpočet'!F85</f>
        <v>1.9248</v>
      </c>
      <c r="AY84" s="135"/>
      <c r="AZ84" s="135"/>
      <c r="BA84" s="135"/>
      <c r="BB84" s="135"/>
      <c r="BC84" s="134">
        <f>'Stavební rozpočet'!G85</f>
        <v>0</v>
      </c>
      <c r="BD84" s="135"/>
      <c r="BE84" s="135"/>
      <c r="BF84" s="135"/>
      <c r="BG84" s="135"/>
      <c r="BH84" s="135"/>
      <c r="BI84" s="135"/>
      <c r="BJ84" s="135"/>
      <c r="BK84" s="134">
        <f>IR84*AX84+IS84*AX84</f>
        <v>0</v>
      </c>
      <c r="BL84" s="135"/>
      <c r="BM84" s="135"/>
      <c r="BN84" s="135"/>
      <c r="BO84" s="135"/>
      <c r="BP84" s="135"/>
      <c r="BQ84" s="135"/>
      <c r="BR84" s="135"/>
      <c r="BS84" s="132" t="s">
        <v>1177</v>
      </c>
      <c r="BT84" s="133"/>
      <c r="BU84" s="133"/>
      <c r="BV84" s="133"/>
      <c r="BW84" s="133"/>
      <c r="BX84" s="133"/>
      <c r="IR84" s="46">
        <f>BC84*0</f>
        <v>0</v>
      </c>
      <c r="IS84" s="46">
        <f>BC84*(1-0)</f>
        <v>0</v>
      </c>
    </row>
    <row r="85" spans="1:253" ht="12.75">
      <c r="A85" s="132" t="s">
        <v>51</v>
      </c>
      <c r="B85" s="133"/>
      <c r="C85" s="132"/>
      <c r="D85" s="133"/>
      <c r="E85" s="133"/>
      <c r="F85" s="132" t="s">
        <v>424</v>
      </c>
      <c r="G85" s="133"/>
      <c r="H85" s="133"/>
      <c r="I85" s="133"/>
      <c r="J85" s="133"/>
      <c r="K85" s="133"/>
      <c r="L85" s="132" t="s">
        <v>814</v>
      </c>
      <c r="M85" s="133"/>
      <c r="N85" s="133"/>
      <c r="O85" s="133"/>
      <c r="P85" s="133"/>
      <c r="Q85" s="133"/>
      <c r="R85" s="133"/>
      <c r="S85" s="133"/>
      <c r="T85" s="133"/>
      <c r="U85" s="133"/>
      <c r="V85" s="133"/>
      <c r="W85" s="133"/>
      <c r="X85" s="133"/>
      <c r="Y85" s="133"/>
      <c r="Z85" s="133"/>
      <c r="AA85" s="133"/>
      <c r="AB85" s="133"/>
      <c r="AC85" s="133"/>
      <c r="AD85" s="133"/>
      <c r="AE85" s="133"/>
      <c r="AF85" s="133"/>
      <c r="AG85" s="133"/>
      <c r="AH85" s="133"/>
      <c r="AI85" s="133"/>
      <c r="AJ85" s="133"/>
      <c r="AK85" s="133"/>
      <c r="AL85" s="133"/>
      <c r="AM85" s="133"/>
      <c r="AN85" s="133"/>
      <c r="AO85" s="133"/>
      <c r="AP85" s="133"/>
      <c r="AQ85" s="133"/>
      <c r="AR85" s="133"/>
      <c r="AS85" s="133"/>
      <c r="AT85" s="133"/>
      <c r="AU85" s="133"/>
      <c r="AV85" s="132" t="s">
        <v>1150</v>
      </c>
      <c r="AW85" s="133"/>
      <c r="AX85" s="134">
        <f>'Stavební rozpočet'!F86</f>
        <v>1.9248</v>
      </c>
      <c r="AY85" s="135"/>
      <c r="AZ85" s="135"/>
      <c r="BA85" s="135"/>
      <c r="BB85" s="135"/>
      <c r="BC85" s="134">
        <f>'Stavební rozpočet'!G86</f>
        <v>0</v>
      </c>
      <c r="BD85" s="135"/>
      <c r="BE85" s="135"/>
      <c r="BF85" s="135"/>
      <c r="BG85" s="135"/>
      <c r="BH85" s="135"/>
      <c r="BI85" s="135"/>
      <c r="BJ85" s="135"/>
      <c r="BK85" s="134">
        <f>IR85*AX85+IS85*AX85</f>
        <v>0</v>
      </c>
      <c r="BL85" s="135"/>
      <c r="BM85" s="135"/>
      <c r="BN85" s="135"/>
      <c r="BO85" s="135"/>
      <c r="BP85" s="135"/>
      <c r="BQ85" s="135"/>
      <c r="BR85" s="135"/>
      <c r="BS85" s="132" t="s">
        <v>1177</v>
      </c>
      <c r="BT85" s="133"/>
      <c r="BU85" s="133"/>
      <c r="BV85" s="133"/>
      <c r="BW85" s="133"/>
      <c r="BX85" s="133"/>
      <c r="IR85" s="46">
        <f>BC85*0</f>
        <v>0</v>
      </c>
      <c r="IS85" s="46">
        <f>BC85*(1-0)</f>
        <v>0</v>
      </c>
    </row>
    <row r="86" spans="1:76" ht="12.75">
      <c r="A86" s="136" t="s">
        <v>6</v>
      </c>
      <c r="B86" s="137"/>
      <c r="C86" s="136" t="s">
        <v>6</v>
      </c>
      <c r="D86" s="137"/>
      <c r="E86" s="137"/>
      <c r="F86" s="136" t="s">
        <v>425</v>
      </c>
      <c r="G86" s="137"/>
      <c r="H86" s="137"/>
      <c r="I86" s="137"/>
      <c r="J86" s="137"/>
      <c r="K86" s="137"/>
      <c r="L86" s="136" t="s">
        <v>815</v>
      </c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7"/>
      <c r="AS86" s="137"/>
      <c r="AT86" s="137"/>
      <c r="AU86" s="137"/>
      <c r="AV86" s="136" t="s">
        <v>6</v>
      </c>
      <c r="AW86" s="137"/>
      <c r="AX86" s="138" t="s">
        <v>6</v>
      </c>
      <c r="AY86" s="139"/>
      <c r="AZ86" s="139"/>
      <c r="BA86" s="139"/>
      <c r="BB86" s="139"/>
      <c r="BC86" s="138" t="s">
        <v>6</v>
      </c>
      <c r="BD86" s="139"/>
      <c r="BE86" s="139"/>
      <c r="BF86" s="139"/>
      <c r="BG86" s="139"/>
      <c r="BH86" s="139"/>
      <c r="BI86" s="139"/>
      <c r="BJ86" s="139"/>
      <c r="BK86" s="140">
        <f>SUM(BK87:BK93)</f>
        <v>0</v>
      </c>
      <c r="BL86" s="139"/>
      <c r="BM86" s="139"/>
      <c r="BN86" s="139"/>
      <c r="BO86" s="139"/>
      <c r="BP86" s="139"/>
      <c r="BQ86" s="139"/>
      <c r="BR86" s="139"/>
      <c r="BS86" s="136" t="s">
        <v>6</v>
      </c>
      <c r="BT86" s="137"/>
      <c r="BU86" s="137"/>
      <c r="BV86" s="137"/>
      <c r="BW86" s="137"/>
      <c r="BX86" s="137"/>
    </row>
    <row r="87" spans="1:253" ht="12.75">
      <c r="A87" s="132" t="s">
        <v>52</v>
      </c>
      <c r="B87" s="133"/>
      <c r="C87" s="132"/>
      <c r="D87" s="133"/>
      <c r="E87" s="133"/>
      <c r="F87" s="132" t="s">
        <v>426</v>
      </c>
      <c r="G87" s="133"/>
      <c r="H87" s="133"/>
      <c r="I87" s="133"/>
      <c r="J87" s="133"/>
      <c r="K87" s="133"/>
      <c r="L87" s="132" t="s">
        <v>816</v>
      </c>
      <c r="M87" s="133"/>
      <c r="N87" s="133"/>
      <c r="O87" s="133"/>
      <c r="P87" s="133"/>
      <c r="Q87" s="133"/>
      <c r="R87" s="133"/>
      <c r="S87" s="133"/>
      <c r="T87" s="133"/>
      <c r="U87" s="133"/>
      <c r="V87" s="133"/>
      <c r="W87" s="133"/>
      <c r="X87" s="133"/>
      <c r="Y87" s="133"/>
      <c r="Z87" s="133"/>
      <c r="AA87" s="133"/>
      <c r="AB87" s="133"/>
      <c r="AC87" s="133"/>
      <c r="AD87" s="133"/>
      <c r="AE87" s="133"/>
      <c r="AF87" s="133"/>
      <c r="AG87" s="133"/>
      <c r="AH87" s="133"/>
      <c r="AI87" s="133"/>
      <c r="AJ87" s="133"/>
      <c r="AK87" s="133"/>
      <c r="AL87" s="133"/>
      <c r="AM87" s="133"/>
      <c r="AN87" s="133"/>
      <c r="AO87" s="133"/>
      <c r="AP87" s="133"/>
      <c r="AQ87" s="133"/>
      <c r="AR87" s="133"/>
      <c r="AS87" s="133"/>
      <c r="AT87" s="133"/>
      <c r="AU87" s="133"/>
      <c r="AV87" s="132" t="s">
        <v>1152</v>
      </c>
      <c r="AW87" s="133"/>
      <c r="AX87" s="134">
        <f>'Stavební rozpočet'!F88</f>
        <v>4.2346</v>
      </c>
      <c r="AY87" s="135"/>
      <c r="AZ87" s="135"/>
      <c r="BA87" s="135"/>
      <c r="BB87" s="135"/>
      <c r="BC87" s="134">
        <f>'Stavební rozpočet'!G88</f>
        <v>0</v>
      </c>
      <c r="BD87" s="135"/>
      <c r="BE87" s="135"/>
      <c r="BF87" s="135"/>
      <c r="BG87" s="135"/>
      <c r="BH87" s="135"/>
      <c r="BI87" s="135"/>
      <c r="BJ87" s="135"/>
      <c r="BK87" s="134">
        <f aca="true" t="shared" si="0" ref="BK87:BK93">IR87*AX87+IS87*AX87</f>
        <v>0</v>
      </c>
      <c r="BL87" s="135"/>
      <c r="BM87" s="135"/>
      <c r="BN87" s="135"/>
      <c r="BO87" s="135"/>
      <c r="BP87" s="135"/>
      <c r="BQ87" s="135"/>
      <c r="BR87" s="135"/>
      <c r="BS87" s="132" t="s">
        <v>1177</v>
      </c>
      <c r="BT87" s="133"/>
      <c r="BU87" s="133"/>
      <c r="BV87" s="133"/>
      <c r="BW87" s="133"/>
      <c r="BX87" s="133"/>
      <c r="IR87" s="46">
        <f aca="true" t="shared" si="1" ref="IR87:IR93">BC87*0</f>
        <v>0</v>
      </c>
      <c r="IS87" s="46">
        <f aca="true" t="shared" si="2" ref="IS87:IS93">BC87*(1-0)</f>
        <v>0</v>
      </c>
    </row>
    <row r="88" spans="1:253" ht="12.75">
      <c r="A88" s="132" t="s">
        <v>53</v>
      </c>
      <c r="B88" s="133"/>
      <c r="C88" s="132"/>
      <c r="D88" s="133"/>
      <c r="E88" s="133"/>
      <c r="F88" s="132" t="s">
        <v>427</v>
      </c>
      <c r="G88" s="133"/>
      <c r="H88" s="133"/>
      <c r="I88" s="133"/>
      <c r="J88" s="133"/>
      <c r="K88" s="133"/>
      <c r="L88" s="132" t="s">
        <v>817</v>
      </c>
      <c r="M88" s="133"/>
      <c r="N88" s="133"/>
      <c r="O88" s="133"/>
      <c r="P88" s="133"/>
      <c r="Q88" s="133"/>
      <c r="R88" s="133"/>
      <c r="S88" s="133"/>
      <c r="T88" s="133"/>
      <c r="U88" s="133"/>
      <c r="V88" s="133"/>
      <c r="W88" s="133"/>
      <c r="X88" s="133"/>
      <c r="Y88" s="133"/>
      <c r="Z88" s="133"/>
      <c r="AA88" s="133"/>
      <c r="AB88" s="133"/>
      <c r="AC88" s="133"/>
      <c r="AD88" s="133"/>
      <c r="AE88" s="133"/>
      <c r="AF88" s="133"/>
      <c r="AG88" s="133"/>
      <c r="AH88" s="133"/>
      <c r="AI88" s="133"/>
      <c r="AJ88" s="133"/>
      <c r="AK88" s="133"/>
      <c r="AL88" s="133"/>
      <c r="AM88" s="133"/>
      <c r="AN88" s="133"/>
      <c r="AO88" s="133"/>
      <c r="AP88" s="133"/>
      <c r="AQ88" s="133"/>
      <c r="AR88" s="133"/>
      <c r="AS88" s="133"/>
      <c r="AT88" s="133"/>
      <c r="AU88" s="133"/>
      <c r="AV88" s="132" t="s">
        <v>1152</v>
      </c>
      <c r="AW88" s="133"/>
      <c r="AX88" s="134">
        <f>'Stavební rozpočet'!F89</f>
        <v>12.7038</v>
      </c>
      <c r="AY88" s="135"/>
      <c r="AZ88" s="135"/>
      <c r="BA88" s="135"/>
      <c r="BB88" s="135"/>
      <c r="BC88" s="134">
        <f>'Stavební rozpočet'!G89</f>
        <v>0</v>
      </c>
      <c r="BD88" s="135"/>
      <c r="BE88" s="135"/>
      <c r="BF88" s="135"/>
      <c r="BG88" s="135"/>
      <c r="BH88" s="135"/>
      <c r="BI88" s="135"/>
      <c r="BJ88" s="135"/>
      <c r="BK88" s="134">
        <f t="shared" si="0"/>
        <v>0</v>
      </c>
      <c r="BL88" s="135"/>
      <c r="BM88" s="135"/>
      <c r="BN88" s="135"/>
      <c r="BO88" s="135"/>
      <c r="BP88" s="135"/>
      <c r="BQ88" s="135"/>
      <c r="BR88" s="135"/>
      <c r="BS88" s="132" t="s">
        <v>1177</v>
      </c>
      <c r="BT88" s="133"/>
      <c r="BU88" s="133"/>
      <c r="BV88" s="133"/>
      <c r="BW88" s="133"/>
      <c r="BX88" s="133"/>
      <c r="IR88" s="46">
        <f t="shared" si="1"/>
        <v>0</v>
      </c>
      <c r="IS88" s="46">
        <f t="shared" si="2"/>
        <v>0</v>
      </c>
    </row>
    <row r="89" spans="1:253" ht="12.75">
      <c r="A89" s="132" t="s">
        <v>54</v>
      </c>
      <c r="B89" s="133"/>
      <c r="C89" s="132"/>
      <c r="D89" s="133"/>
      <c r="E89" s="133"/>
      <c r="F89" s="132" t="s">
        <v>428</v>
      </c>
      <c r="G89" s="133"/>
      <c r="H89" s="133"/>
      <c r="I89" s="133"/>
      <c r="J89" s="133"/>
      <c r="K89" s="133"/>
      <c r="L89" s="132" t="s">
        <v>818</v>
      </c>
      <c r="M89" s="133"/>
      <c r="N89" s="133"/>
      <c r="O89" s="133"/>
      <c r="P89" s="133"/>
      <c r="Q89" s="133"/>
      <c r="R89" s="133"/>
      <c r="S89" s="133"/>
      <c r="T89" s="133"/>
      <c r="U89" s="133"/>
      <c r="V89" s="133"/>
      <c r="W89" s="133"/>
      <c r="X89" s="133"/>
      <c r="Y89" s="133"/>
      <c r="Z89" s="133"/>
      <c r="AA89" s="133"/>
      <c r="AB89" s="133"/>
      <c r="AC89" s="133"/>
      <c r="AD89" s="133"/>
      <c r="AE89" s="133"/>
      <c r="AF89" s="133"/>
      <c r="AG89" s="133"/>
      <c r="AH89" s="133"/>
      <c r="AI89" s="133"/>
      <c r="AJ89" s="133"/>
      <c r="AK89" s="133"/>
      <c r="AL89" s="133"/>
      <c r="AM89" s="133"/>
      <c r="AN89" s="133"/>
      <c r="AO89" s="133"/>
      <c r="AP89" s="133"/>
      <c r="AQ89" s="133"/>
      <c r="AR89" s="133"/>
      <c r="AS89" s="133"/>
      <c r="AT89" s="133"/>
      <c r="AU89" s="133"/>
      <c r="AV89" s="132" t="s">
        <v>1152</v>
      </c>
      <c r="AW89" s="133"/>
      <c r="AX89" s="134">
        <f>'Stavební rozpočet'!F90</f>
        <v>4.2346</v>
      </c>
      <c r="AY89" s="135"/>
      <c r="AZ89" s="135"/>
      <c r="BA89" s="135"/>
      <c r="BB89" s="135"/>
      <c r="BC89" s="134">
        <f>'Stavební rozpočet'!G90</f>
        <v>0</v>
      </c>
      <c r="BD89" s="135"/>
      <c r="BE89" s="135"/>
      <c r="BF89" s="135"/>
      <c r="BG89" s="135"/>
      <c r="BH89" s="135"/>
      <c r="BI89" s="135"/>
      <c r="BJ89" s="135"/>
      <c r="BK89" s="134">
        <f t="shared" si="0"/>
        <v>0</v>
      </c>
      <c r="BL89" s="135"/>
      <c r="BM89" s="135"/>
      <c r="BN89" s="135"/>
      <c r="BO89" s="135"/>
      <c r="BP89" s="135"/>
      <c r="BQ89" s="135"/>
      <c r="BR89" s="135"/>
      <c r="BS89" s="132" t="s">
        <v>1177</v>
      </c>
      <c r="BT89" s="133"/>
      <c r="BU89" s="133"/>
      <c r="BV89" s="133"/>
      <c r="BW89" s="133"/>
      <c r="BX89" s="133"/>
      <c r="IR89" s="46">
        <f t="shared" si="1"/>
        <v>0</v>
      </c>
      <c r="IS89" s="46">
        <f t="shared" si="2"/>
        <v>0</v>
      </c>
    </row>
    <row r="90" spans="1:253" ht="12.75">
      <c r="A90" s="132" t="s">
        <v>55</v>
      </c>
      <c r="B90" s="133"/>
      <c r="C90" s="132"/>
      <c r="D90" s="133"/>
      <c r="E90" s="133"/>
      <c r="F90" s="132" t="s">
        <v>429</v>
      </c>
      <c r="G90" s="133"/>
      <c r="H90" s="133"/>
      <c r="I90" s="133"/>
      <c r="J90" s="133"/>
      <c r="K90" s="133"/>
      <c r="L90" s="132" t="s">
        <v>819</v>
      </c>
      <c r="M90" s="133"/>
      <c r="N90" s="133"/>
      <c r="O90" s="133"/>
      <c r="P90" s="133"/>
      <c r="Q90" s="133"/>
      <c r="R90" s="133"/>
      <c r="S90" s="133"/>
      <c r="T90" s="133"/>
      <c r="U90" s="133"/>
      <c r="V90" s="133"/>
      <c r="W90" s="133"/>
      <c r="X90" s="133"/>
      <c r="Y90" s="133"/>
      <c r="Z90" s="133"/>
      <c r="AA90" s="133"/>
      <c r="AB90" s="133"/>
      <c r="AC90" s="133"/>
      <c r="AD90" s="133"/>
      <c r="AE90" s="133"/>
      <c r="AF90" s="133"/>
      <c r="AG90" s="133"/>
      <c r="AH90" s="133"/>
      <c r="AI90" s="133"/>
      <c r="AJ90" s="133"/>
      <c r="AK90" s="133"/>
      <c r="AL90" s="133"/>
      <c r="AM90" s="133"/>
      <c r="AN90" s="133"/>
      <c r="AO90" s="133"/>
      <c r="AP90" s="133"/>
      <c r="AQ90" s="133"/>
      <c r="AR90" s="133"/>
      <c r="AS90" s="133"/>
      <c r="AT90" s="133"/>
      <c r="AU90" s="133"/>
      <c r="AV90" s="132" t="s">
        <v>1152</v>
      </c>
      <c r="AW90" s="133"/>
      <c r="AX90" s="134">
        <f>'Stavební rozpočet'!F91</f>
        <v>8.4692</v>
      </c>
      <c r="AY90" s="135"/>
      <c r="AZ90" s="135"/>
      <c r="BA90" s="135"/>
      <c r="BB90" s="135"/>
      <c r="BC90" s="134">
        <f>'Stavební rozpočet'!G91</f>
        <v>0</v>
      </c>
      <c r="BD90" s="135"/>
      <c r="BE90" s="135"/>
      <c r="BF90" s="135"/>
      <c r="BG90" s="135"/>
      <c r="BH90" s="135"/>
      <c r="BI90" s="135"/>
      <c r="BJ90" s="135"/>
      <c r="BK90" s="134">
        <f t="shared" si="0"/>
        <v>0</v>
      </c>
      <c r="BL90" s="135"/>
      <c r="BM90" s="135"/>
      <c r="BN90" s="135"/>
      <c r="BO90" s="135"/>
      <c r="BP90" s="135"/>
      <c r="BQ90" s="135"/>
      <c r="BR90" s="135"/>
      <c r="BS90" s="132" t="s">
        <v>1177</v>
      </c>
      <c r="BT90" s="133"/>
      <c r="BU90" s="133"/>
      <c r="BV90" s="133"/>
      <c r="BW90" s="133"/>
      <c r="BX90" s="133"/>
      <c r="IR90" s="46">
        <f t="shared" si="1"/>
        <v>0</v>
      </c>
      <c r="IS90" s="46">
        <f t="shared" si="2"/>
        <v>0</v>
      </c>
    </row>
    <row r="91" spans="1:253" ht="12.75">
      <c r="A91" s="132" t="s">
        <v>56</v>
      </c>
      <c r="B91" s="133"/>
      <c r="C91" s="132"/>
      <c r="D91" s="133"/>
      <c r="E91" s="133"/>
      <c r="F91" s="132" t="s">
        <v>430</v>
      </c>
      <c r="G91" s="133"/>
      <c r="H91" s="133"/>
      <c r="I91" s="133"/>
      <c r="J91" s="133"/>
      <c r="K91" s="133"/>
      <c r="L91" s="132" t="s">
        <v>820</v>
      </c>
      <c r="M91" s="133"/>
      <c r="N91" s="133"/>
      <c r="O91" s="133"/>
      <c r="P91" s="133"/>
      <c r="Q91" s="133"/>
      <c r="R91" s="133"/>
      <c r="S91" s="133"/>
      <c r="T91" s="133"/>
      <c r="U91" s="133"/>
      <c r="V91" s="133"/>
      <c r="W91" s="133"/>
      <c r="X91" s="133"/>
      <c r="Y91" s="133"/>
      <c r="Z91" s="133"/>
      <c r="AA91" s="133"/>
      <c r="AB91" s="133"/>
      <c r="AC91" s="133"/>
      <c r="AD91" s="133"/>
      <c r="AE91" s="133"/>
      <c r="AF91" s="133"/>
      <c r="AG91" s="133"/>
      <c r="AH91" s="133"/>
      <c r="AI91" s="133"/>
      <c r="AJ91" s="133"/>
      <c r="AK91" s="133"/>
      <c r="AL91" s="133"/>
      <c r="AM91" s="133"/>
      <c r="AN91" s="133"/>
      <c r="AO91" s="133"/>
      <c r="AP91" s="133"/>
      <c r="AQ91" s="133"/>
      <c r="AR91" s="133"/>
      <c r="AS91" s="133"/>
      <c r="AT91" s="133"/>
      <c r="AU91" s="133"/>
      <c r="AV91" s="132" t="s">
        <v>1152</v>
      </c>
      <c r="AW91" s="133"/>
      <c r="AX91" s="134">
        <f>'Stavební rozpočet'!F92</f>
        <v>4.2346</v>
      </c>
      <c r="AY91" s="135"/>
      <c r="AZ91" s="135"/>
      <c r="BA91" s="135"/>
      <c r="BB91" s="135"/>
      <c r="BC91" s="134">
        <f>'Stavební rozpočet'!G92</f>
        <v>0</v>
      </c>
      <c r="BD91" s="135"/>
      <c r="BE91" s="135"/>
      <c r="BF91" s="135"/>
      <c r="BG91" s="135"/>
      <c r="BH91" s="135"/>
      <c r="BI91" s="135"/>
      <c r="BJ91" s="135"/>
      <c r="BK91" s="134">
        <f t="shared" si="0"/>
        <v>0</v>
      </c>
      <c r="BL91" s="135"/>
      <c r="BM91" s="135"/>
      <c r="BN91" s="135"/>
      <c r="BO91" s="135"/>
      <c r="BP91" s="135"/>
      <c r="BQ91" s="135"/>
      <c r="BR91" s="135"/>
      <c r="BS91" s="132" t="s">
        <v>1177</v>
      </c>
      <c r="BT91" s="133"/>
      <c r="BU91" s="133"/>
      <c r="BV91" s="133"/>
      <c r="BW91" s="133"/>
      <c r="BX91" s="133"/>
      <c r="IR91" s="46">
        <f t="shared" si="1"/>
        <v>0</v>
      </c>
      <c r="IS91" s="46">
        <f t="shared" si="2"/>
        <v>0</v>
      </c>
    </row>
    <row r="92" spans="1:253" ht="12.75">
      <c r="A92" s="132" t="s">
        <v>57</v>
      </c>
      <c r="B92" s="133"/>
      <c r="C92" s="132"/>
      <c r="D92" s="133"/>
      <c r="E92" s="133"/>
      <c r="F92" s="132" t="s">
        <v>431</v>
      </c>
      <c r="G92" s="133"/>
      <c r="H92" s="133"/>
      <c r="I92" s="133"/>
      <c r="J92" s="133"/>
      <c r="K92" s="133"/>
      <c r="L92" s="132" t="s">
        <v>821</v>
      </c>
      <c r="M92" s="133"/>
      <c r="N92" s="133"/>
      <c r="O92" s="133"/>
      <c r="P92" s="133"/>
      <c r="Q92" s="133"/>
      <c r="R92" s="133"/>
      <c r="S92" s="133"/>
      <c r="T92" s="133"/>
      <c r="U92" s="133"/>
      <c r="V92" s="133"/>
      <c r="W92" s="133"/>
      <c r="X92" s="133"/>
      <c r="Y92" s="133"/>
      <c r="Z92" s="133"/>
      <c r="AA92" s="133"/>
      <c r="AB92" s="133"/>
      <c r="AC92" s="133"/>
      <c r="AD92" s="133"/>
      <c r="AE92" s="133"/>
      <c r="AF92" s="133"/>
      <c r="AG92" s="133"/>
      <c r="AH92" s="133"/>
      <c r="AI92" s="133"/>
      <c r="AJ92" s="133"/>
      <c r="AK92" s="133"/>
      <c r="AL92" s="133"/>
      <c r="AM92" s="133"/>
      <c r="AN92" s="133"/>
      <c r="AO92" s="133"/>
      <c r="AP92" s="133"/>
      <c r="AQ92" s="133"/>
      <c r="AR92" s="133"/>
      <c r="AS92" s="133"/>
      <c r="AT92" s="133"/>
      <c r="AU92" s="133"/>
      <c r="AV92" s="132" t="s">
        <v>1152</v>
      </c>
      <c r="AW92" s="133"/>
      <c r="AX92" s="134">
        <f>'Stavební rozpočet'!F93</f>
        <v>4.2346</v>
      </c>
      <c r="AY92" s="135"/>
      <c r="AZ92" s="135"/>
      <c r="BA92" s="135"/>
      <c r="BB92" s="135"/>
      <c r="BC92" s="134">
        <f>'Stavební rozpočet'!G93</f>
        <v>0</v>
      </c>
      <c r="BD92" s="135"/>
      <c r="BE92" s="135"/>
      <c r="BF92" s="135"/>
      <c r="BG92" s="135"/>
      <c r="BH92" s="135"/>
      <c r="BI92" s="135"/>
      <c r="BJ92" s="135"/>
      <c r="BK92" s="134">
        <f t="shared" si="0"/>
        <v>0</v>
      </c>
      <c r="BL92" s="135"/>
      <c r="BM92" s="135"/>
      <c r="BN92" s="135"/>
      <c r="BO92" s="135"/>
      <c r="BP92" s="135"/>
      <c r="BQ92" s="135"/>
      <c r="BR92" s="135"/>
      <c r="BS92" s="132" t="s">
        <v>1177</v>
      </c>
      <c r="BT92" s="133"/>
      <c r="BU92" s="133"/>
      <c r="BV92" s="133"/>
      <c r="BW92" s="133"/>
      <c r="BX92" s="133"/>
      <c r="IR92" s="46">
        <f t="shared" si="1"/>
        <v>0</v>
      </c>
      <c r="IS92" s="46">
        <f t="shared" si="2"/>
        <v>0</v>
      </c>
    </row>
    <row r="93" spans="1:253" ht="12.75">
      <c r="A93" s="132" t="s">
        <v>58</v>
      </c>
      <c r="B93" s="133"/>
      <c r="C93" s="132"/>
      <c r="D93" s="133"/>
      <c r="E93" s="133"/>
      <c r="F93" s="132" t="s">
        <v>432</v>
      </c>
      <c r="G93" s="133"/>
      <c r="H93" s="133"/>
      <c r="I93" s="133"/>
      <c r="J93" s="133"/>
      <c r="K93" s="133"/>
      <c r="L93" s="132" t="s">
        <v>822</v>
      </c>
      <c r="M93" s="133"/>
      <c r="N93" s="133"/>
      <c r="O93" s="133"/>
      <c r="P93" s="133"/>
      <c r="Q93" s="133"/>
      <c r="R93" s="133"/>
      <c r="S93" s="133"/>
      <c r="T93" s="133"/>
      <c r="U93" s="133"/>
      <c r="V93" s="133"/>
      <c r="W93" s="133"/>
      <c r="X93" s="133"/>
      <c r="Y93" s="133"/>
      <c r="Z93" s="133"/>
      <c r="AA93" s="133"/>
      <c r="AB93" s="133"/>
      <c r="AC93" s="133"/>
      <c r="AD93" s="133"/>
      <c r="AE93" s="133"/>
      <c r="AF93" s="133"/>
      <c r="AG93" s="133"/>
      <c r="AH93" s="133"/>
      <c r="AI93" s="133"/>
      <c r="AJ93" s="133"/>
      <c r="AK93" s="133"/>
      <c r="AL93" s="133"/>
      <c r="AM93" s="133"/>
      <c r="AN93" s="133"/>
      <c r="AO93" s="133"/>
      <c r="AP93" s="133"/>
      <c r="AQ93" s="133"/>
      <c r="AR93" s="133"/>
      <c r="AS93" s="133"/>
      <c r="AT93" s="133"/>
      <c r="AU93" s="133"/>
      <c r="AV93" s="132" t="s">
        <v>1152</v>
      </c>
      <c r="AW93" s="133"/>
      <c r="AX93" s="134">
        <f>'Stavební rozpočet'!F94</f>
        <v>4.2346</v>
      </c>
      <c r="AY93" s="135"/>
      <c r="AZ93" s="135"/>
      <c r="BA93" s="135"/>
      <c r="BB93" s="135"/>
      <c r="BC93" s="134">
        <f>'Stavební rozpočet'!G94</f>
        <v>0</v>
      </c>
      <c r="BD93" s="135"/>
      <c r="BE93" s="135"/>
      <c r="BF93" s="135"/>
      <c r="BG93" s="135"/>
      <c r="BH93" s="135"/>
      <c r="BI93" s="135"/>
      <c r="BJ93" s="135"/>
      <c r="BK93" s="134">
        <f t="shared" si="0"/>
        <v>0</v>
      </c>
      <c r="BL93" s="135"/>
      <c r="BM93" s="135"/>
      <c r="BN93" s="135"/>
      <c r="BO93" s="135"/>
      <c r="BP93" s="135"/>
      <c r="BQ93" s="135"/>
      <c r="BR93" s="135"/>
      <c r="BS93" s="132" t="s">
        <v>1177</v>
      </c>
      <c r="BT93" s="133"/>
      <c r="BU93" s="133"/>
      <c r="BV93" s="133"/>
      <c r="BW93" s="133"/>
      <c r="BX93" s="133"/>
      <c r="IR93" s="46">
        <f t="shared" si="1"/>
        <v>0</v>
      </c>
      <c r="IS93" s="46">
        <f t="shared" si="2"/>
        <v>0</v>
      </c>
    </row>
    <row r="94" spans="1:76" ht="12.75">
      <c r="A94" s="136" t="s">
        <v>6</v>
      </c>
      <c r="B94" s="137"/>
      <c r="C94" s="136" t="s">
        <v>6</v>
      </c>
      <c r="D94" s="137"/>
      <c r="E94" s="137"/>
      <c r="F94" s="136" t="s">
        <v>433</v>
      </c>
      <c r="G94" s="137"/>
      <c r="H94" s="137"/>
      <c r="I94" s="137"/>
      <c r="J94" s="137"/>
      <c r="K94" s="137"/>
      <c r="L94" s="136" t="s">
        <v>823</v>
      </c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6" t="s">
        <v>6</v>
      </c>
      <c r="AW94" s="137"/>
      <c r="AX94" s="138" t="s">
        <v>6</v>
      </c>
      <c r="AY94" s="139"/>
      <c r="AZ94" s="139"/>
      <c r="BA94" s="139"/>
      <c r="BB94" s="139"/>
      <c r="BC94" s="138" t="s">
        <v>6</v>
      </c>
      <c r="BD94" s="139"/>
      <c r="BE94" s="139"/>
      <c r="BF94" s="139"/>
      <c r="BG94" s="139"/>
      <c r="BH94" s="139"/>
      <c r="BI94" s="139"/>
      <c r="BJ94" s="139"/>
      <c r="BK94" s="140">
        <f>SUM(BK95:BK95)</f>
        <v>0</v>
      </c>
      <c r="BL94" s="139"/>
      <c r="BM94" s="139"/>
      <c r="BN94" s="139"/>
      <c r="BO94" s="139"/>
      <c r="BP94" s="139"/>
      <c r="BQ94" s="139"/>
      <c r="BR94" s="139"/>
      <c r="BS94" s="136" t="s">
        <v>6</v>
      </c>
      <c r="BT94" s="137"/>
      <c r="BU94" s="137"/>
      <c r="BV94" s="137"/>
      <c r="BW94" s="137"/>
      <c r="BX94" s="137"/>
    </row>
    <row r="95" spans="1:253" ht="12.75">
      <c r="A95" s="132" t="s">
        <v>59</v>
      </c>
      <c r="B95" s="133"/>
      <c r="C95" s="132"/>
      <c r="D95" s="133"/>
      <c r="E95" s="133"/>
      <c r="F95" s="132" t="s">
        <v>434</v>
      </c>
      <c r="G95" s="133"/>
      <c r="H95" s="133"/>
      <c r="I95" s="133"/>
      <c r="J95" s="133"/>
      <c r="K95" s="133"/>
      <c r="L95" s="132" t="s">
        <v>824</v>
      </c>
      <c r="M95" s="133"/>
      <c r="N95" s="133"/>
      <c r="O95" s="133"/>
      <c r="P95" s="133"/>
      <c r="Q95" s="133"/>
      <c r="R95" s="133"/>
      <c r="S95" s="133"/>
      <c r="T95" s="133"/>
      <c r="U95" s="133"/>
      <c r="V95" s="133"/>
      <c r="W95" s="133"/>
      <c r="X95" s="133"/>
      <c r="Y95" s="133"/>
      <c r="Z95" s="133"/>
      <c r="AA95" s="133"/>
      <c r="AB95" s="133"/>
      <c r="AC95" s="133"/>
      <c r="AD95" s="133"/>
      <c r="AE95" s="133"/>
      <c r="AF95" s="133"/>
      <c r="AG95" s="133"/>
      <c r="AH95" s="133"/>
      <c r="AI95" s="133"/>
      <c r="AJ95" s="133"/>
      <c r="AK95" s="133"/>
      <c r="AL95" s="133"/>
      <c r="AM95" s="133"/>
      <c r="AN95" s="133"/>
      <c r="AO95" s="133"/>
      <c r="AP95" s="133"/>
      <c r="AQ95" s="133"/>
      <c r="AR95" s="133"/>
      <c r="AS95" s="133"/>
      <c r="AT95" s="133"/>
      <c r="AU95" s="133"/>
      <c r="AV95" s="132" t="s">
        <v>1152</v>
      </c>
      <c r="AW95" s="133"/>
      <c r="AX95" s="134">
        <f>'Stavební rozpočet'!F96</f>
        <v>166.166</v>
      </c>
      <c r="AY95" s="135"/>
      <c r="AZ95" s="135"/>
      <c r="BA95" s="135"/>
      <c r="BB95" s="135"/>
      <c r="BC95" s="134">
        <f>'Stavební rozpočet'!G96</f>
        <v>0</v>
      </c>
      <c r="BD95" s="135"/>
      <c r="BE95" s="135"/>
      <c r="BF95" s="135"/>
      <c r="BG95" s="135"/>
      <c r="BH95" s="135"/>
      <c r="BI95" s="135"/>
      <c r="BJ95" s="135"/>
      <c r="BK95" s="134">
        <f>IR95*AX95+IS95*AX95</f>
        <v>0</v>
      </c>
      <c r="BL95" s="135"/>
      <c r="BM95" s="135"/>
      <c r="BN95" s="135"/>
      <c r="BO95" s="135"/>
      <c r="BP95" s="135"/>
      <c r="BQ95" s="135"/>
      <c r="BR95" s="135"/>
      <c r="BS95" s="132" t="s">
        <v>1177</v>
      </c>
      <c r="BT95" s="133"/>
      <c r="BU95" s="133"/>
      <c r="BV95" s="133"/>
      <c r="BW95" s="133"/>
      <c r="BX95" s="133"/>
      <c r="IR95" s="46">
        <f>BC95*0</f>
        <v>0</v>
      </c>
      <c r="IS95" s="46">
        <f>BC95*(1-0)</f>
        <v>0</v>
      </c>
    </row>
    <row r="96" spans="1:76" ht="12.75">
      <c r="A96" s="136" t="s">
        <v>6</v>
      </c>
      <c r="B96" s="137"/>
      <c r="C96" s="136" t="s">
        <v>6</v>
      </c>
      <c r="D96" s="137"/>
      <c r="E96" s="137"/>
      <c r="F96" s="136" t="s">
        <v>435</v>
      </c>
      <c r="G96" s="137"/>
      <c r="H96" s="137"/>
      <c r="I96" s="137"/>
      <c r="J96" s="137"/>
      <c r="K96" s="137"/>
      <c r="L96" s="136" t="s">
        <v>825</v>
      </c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137"/>
      <c r="AM96" s="137"/>
      <c r="AN96" s="137"/>
      <c r="AO96" s="137"/>
      <c r="AP96" s="137"/>
      <c r="AQ96" s="137"/>
      <c r="AR96" s="137"/>
      <c r="AS96" s="137"/>
      <c r="AT96" s="137"/>
      <c r="AU96" s="137"/>
      <c r="AV96" s="136" t="s">
        <v>6</v>
      </c>
      <c r="AW96" s="137"/>
      <c r="AX96" s="138" t="s">
        <v>6</v>
      </c>
      <c r="AY96" s="139"/>
      <c r="AZ96" s="139"/>
      <c r="BA96" s="139"/>
      <c r="BB96" s="139"/>
      <c r="BC96" s="138" t="s">
        <v>6</v>
      </c>
      <c r="BD96" s="139"/>
      <c r="BE96" s="139"/>
      <c r="BF96" s="139"/>
      <c r="BG96" s="139"/>
      <c r="BH96" s="139"/>
      <c r="BI96" s="139"/>
      <c r="BJ96" s="139"/>
      <c r="BK96" s="140">
        <f>SUM(BK97:BK114)</f>
        <v>0</v>
      </c>
      <c r="BL96" s="139"/>
      <c r="BM96" s="139"/>
      <c r="BN96" s="139"/>
      <c r="BO96" s="139"/>
      <c r="BP96" s="139"/>
      <c r="BQ96" s="139"/>
      <c r="BR96" s="139"/>
      <c r="BS96" s="136" t="s">
        <v>6</v>
      </c>
      <c r="BT96" s="137"/>
      <c r="BU96" s="137"/>
      <c r="BV96" s="137"/>
      <c r="BW96" s="137"/>
      <c r="BX96" s="137"/>
    </row>
    <row r="97" spans="1:253" ht="12.75">
      <c r="A97" s="132" t="s">
        <v>60</v>
      </c>
      <c r="B97" s="133"/>
      <c r="C97" s="132"/>
      <c r="D97" s="133"/>
      <c r="E97" s="133"/>
      <c r="F97" s="132" t="s">
        <v>436</v>
      </c>
      <c r="G97" s="133"/>
      <c r="H97" s="133"/>
      <c r="I97" s="133"/>
      <c r="J97" s="133"/>
      <c r="K97" s="133"/>
      <c r="L97" s="132" t="s">
        <v>826</v>
      </c>
      <c r="M97" s="133"/>
      <c r="N97" s="133"/>
      <c r="O97" s="133"/>
      <c r="P97" s="133"/>
      <c r="Q97" s="133"/>
      <c r="R97" s="133"/>
      <c r="S97" s="133"/>
      <c r="T97" s="133"/>
      <c r="U97" s="133"/>
      <c r="V97" s="133"/>
      <c r="W97" s="133"/>
      <c r="X97" s="133"/>
      <c r="Y97" s="133"/>
      <c r="Z97" s="133"/>
      <c r="AA97" s="133"/>
      <c r="AB97" s="133"/>
      <c r="AC97" s="133"/>
      <c r="AD97" s="133"/>
      <c r="AE97" s="133"/>
      <c r="AF97" s="133"/>
      <c r="AG97" s="133"/>
      <c r="AH97" s="133"/>
      <c r="AI97" s="133"/>
      <c r="AJ97" s="133"/>
      <c r="AK97" s="133"/>
      <c r="AL97" s="133"/>
      <c r="AM97" s="133"/>
      <c r="AN97" s="133"/>
      <c r="AO97" s="133"/>
      <c r="AP97" s="133"/>
      <c r="AQ97" s="133"/>
      <c r="AR97" s="133"/>
      <c r="AS97" s="133"/>
      <c r="AT97" s="133"/>
      <c r="AU97" s="133"/>
      <c r="AV97" s="132" t="s">
        <v>1151</v>
      </c>
      <c r="AW97" s="133"/>
      <c r="AX97" s="134">
        <f>'Stavební rozpočet'!F98</f>
        <v>51.726</v>
      </c>
      <c r="AY97" s="135"/>
      <c r="AZ97" s="135"/>
      <c r="BA97" s="135"/>
      <c r="BB97" s="135"/>
      <c r="BC97" s="134">
        <f>'Stavební rozpočet'!G98</f>
        <v>0</v>
      </c>
      <c r="BD97" s="135"/>
      <c r="BE97" s="135"/>
      <c r="BF97" s="135"/>
      <c r="BG97" s="135"/>
      <c r="BH97" s="135"/>
      <c r="BI97" s="135"/>
      <c r="BJ97" s="135"/>
      <c r="BK97" s="134">
        <f>IR97*AX97+IS97*AX97</f>
        <v>0</v>
      </c>
      <c r="BL97" s="135"/>
      <c r="BM97" s="135"/>
      <c r="BN97" s="135"/>
      <c r="BO97" s="135"/>
      <c r="BP97" s="135"/>
      <c r="BQ97" s="135"/>
      <c r="BR97" s="135"/>
      <c r="BS97" s="132" t="s">
        <v>1177</v>
      </c>
      <c r="BT97" s="133"/>
      <c r="BU97" s="133"/>
      <c r="BV97" s="133"/>
      <c r="BW97" s="133"/>
      <c r="BX97" s="133"/>
      <c r="IR97" s="46">
        <f>BC97*0.596875</f>
        <v>0</v>
      </c>
      <c r="IS97" s="46">
        <f>BC97*(1-0.596875)</f>
        <v>0</v>
      </c>
    </row>
    <row r="98" spans="1:76" ht="12.75">
      <c r="A98" s="132"/>
      <c r="B98" s="133"/>
      <c r="C98" s="133"/>
      <c r="D98" s="133"/>
      <c r="E98" s="133"/>
      <c r="F98" s="133"/>
      <c r="G98" s="133"/>
      <c r="H98" s="133"/>
      <c r="I98" s="133"/>
      <c r="J98" s="133"/>
      <c r="K98" s="133"/>
      <c r="L98" s="141" t="s">
        <v>827</v>
      </c>
      <c r="M98" s="142"/>
      <c r="N98" s="142"/>
      <c r="O98" s="142"/>
      <c r="P98" s="142"/>
      <c r="Q98" s="142"/>
      <c r="R98" s="142"/>
      <c r="S98" s="142"/>
      <c r="T98" s="142"/>
      <c r="U98" s="142"/>
      <c r="V98" s="142"/>
      <c r="W98" s="142"/>
      <c r="X98" s="142"/>
      <c r="Y98" s="142"/>
      <c r="Z98" s="142"/>
      <c r="AA98" s="142"/>
      <c r="AB98" s="142"/>
      <c r="AC98" s="142"/>
      <c r="AD98" s="142"/>
      <c r="AE98" s="142"/>
      <c r="AF98" s="142"/>
      <c r="AG98" s="142"/>
      <c r="AH98" s="142"/>
      <c r="AI98" s="142"/>
      <c r="AJ98" s="142"/>
      <c r="AK98" s="142"/>
      <c r="AL98" s="142"/>
      <c r="AM98" s="142"/>
      <c r="AN98" s="142"/>
      <c r="AO98" s="142"/>
      <c r="AP98" s="142"/>
      <c r="AQ98" s="142"/>
      <c r="AR98" s="142"/>
      <c r="AS98" s="142"/>
      <c r="AT98" s="142"/>
      <c r="AU98" s="142"/>
      <c r="AV98" s="132"/>
      <c r="AW98" s="133"/>
      <c r="AX98" s="133"/>
      <c r="AY98" s="133"/>
      <c r="AZ98" s="133"/>
      <c r="BA98" s="133"/>
      <c r="BB98" s="133"/>
      <c r="BC98" s="133"/>
      <c r="BD98" s="133"/>
      <c r="BE98" s="133"/>
      <c r="BF98" s="133"/>
      <c r="BG98" s="133"/>
      <c r="BH98" s="133"/>
      <c r="BI98" s="133"/>
      <c r="BJ98" s="133"/>
      <c r="BK98" s="133"/>
      <c r="BL98" s="133"/>
      <c r="BM98" s="133"/>
      <c r="BN98" s="133"/>
      <c r="BO98" s="133"/>
      <c r="BP98" s="133"/>
      <c r="BQ98" s="133"/>
      <c r="BR98" s="133"/>
      <c r="BS98" s="133"/>
      <c r="BT98" s="133"/>
      <c r="BU98" s="133"/>
      <c r="BV98" s="133"/>
      <c r="BW98" s="133"/>
      <c r="BX98" s="133"/>
    </row>
    <row r="99" spans="1:253" ht="12.75">
      <c r="A99" s="132" t="s">
        <v>61</v>
      </c>
      <c r="B99" s="133"/>
      <c r="C99" s="132"/>
      <c r="D99" s="133"/>
      <c r="E99" s="133"/>
      <c r="F99" s="132" t="s">
        <v>437</v>
      </c>
      <c r="G99" s="133"/>
      <c r="H99" s="133"/>
      <c r="I99" s="133"/>
      <c r="J99" s="133"/>
      <c r="K99" s="133"/>
      <c r="L99" s="132" t="s">
        <v>828</v>
      </c>
      <c r="M99" s="133"/>
      <c r="N99" s="133"/>
      <c r="O99" s="133"/>
      <c r="P99" s="133"/>
      <c r="Q99" s="133"/>
      <c r="R99" s="133"/>
      <c r="S99" s="133"/>
      <c r="T99" s="133"/>
      <c r="U99" s="133"/>
      <c r="V99" s="133"/>
      <c r="W99" s="133"/>
      <c r="X99" s="133"/>
      <c r="Y99" s="133"/>
      <c r="Z99" s="133"/>
      <c r="AA99" s="133"/>
      <c r="AB99" s="133"/>
      <c r="AC99" s="133"/>
      <c r="AD99" s="133"/>
      <c r="AE99" s="133"/>
      <c r="AF99" s="133"/>
      <c r="AG99" s="133"/>
      <c r="AH99" s="133"/>
      <c r="AI99" s="133"/>
      <c r="AJ99" s="133"/>
      <c r="AK99" s="133"/>
      <c r="AL99" s="133"/>
      <c r="AM99" s="133"/>
      <c r="AN99" s="133"/>
      <c r="AO99" s="133"/>
      <c r="AP99" s="133"/>
      <c r="AQ99" s="133"/>
      <c r="AR99" s="133"/>
      <c r="AS99" s="133"/>
      <c r="AT99" s="133"/>
      <c r="AU99" s="133"/>
      <c r="AV99" s="132" t="s">
        <v>1151</v>
      </c>
      <c r="AW99" s="133"/>
      <c r="AX99" s="134">
        <f>'Stavební rozpočet'!F100</f>
        <v>15.1632</v>
      </c>
      <c r="AY99" s="135"/>
      <c r="AZ99" s="135"/>
      <c r="BA99" s="135"/>
      <c r="BB99" s="135"/>
      <c r="BC99" s="134">
        <f>'Stavební rozpočet'!G100</f>
        <v>0</v>
      </c>
      <c r="BD99" s="135"/>
      <c r="BE99" s="135"/>
      <c r="BF99" s="135"/>
      <c r="BG99" s="135"/>
      <c r="BH99" s="135"/>
      <c r="BI99" s="135"/>
      <c r="BJ99" s="135"/>
      <c r="BK99" s="134">
        <f>IR99*AX99+IS99*AX99</f>
        <v>0</v>
      </c>
      <c r="BL99" s="135"/>
      <c r="BM99" s="135"/>
      <c r="BN99" s="135"/>
      <c r="BO99" s="135"/>
      <c r="BP99" s="135"/>
      <c r="BQ99" s="135"/>
      <c r="BR99" s="135"/>
      <c r="BS99" s="132" t="s">
        <v>1177</v>
      </c>
      <c r="BT99" s="133"/>
      <c r="BU99" s="133"/>
      <c r="BV99" s="133"/>
      <c r="BW99" s="133"/>
      <c r="BX99" s="133"/>
      <c r="IR99" s="46">
        <f>BC99*0.529090909090909</f>
        <v>0</v>
      </c>
      <c r="IS99" s="46">
        <f>BC99*(1-0.529090909090909)</f>
        <v>0</v>
      </c>
    </row>
    <row r="100" spans="1:76" ht="12.75">
      <c r="A100" s="132"/>
      <c r="B100" s="133"/>
      <c r="C100" s="133"/>
      <c r="D100" s="133"/>
      <c r="E100" s="133"/>
      <c r="F100" s="133"/>
      <c r="G100" s="133"/>
      <c r="H100" s="133"/>
      <c r="I100" s="133"/>
      <c r="J100" s="133"/>
      <c r="K100" s="133"/>
      <c r="L100" s="141" t="s">
        <v>827</v>
      </c>
      <c r="M100" s="142"/>
      <c r="N100" s="142"/>
      <c r="O100" s="142"/>
      <c r="P100" s="142"/>
      <c r="Q100" s="142"/>
      <c r="R100" s="142"/>
      <c r="S100" s="142"/>
      <c r="T100" s="142"/>
      <c r="U100" s="142"/>
      <c r="V100" s="142"/>
      <c r="W100" s="142"/>
      <c r="X100" s="142"/>
      <c r="Y100" s="142"/>
      <c r="Z100" s="142"/>
      <c r="AA100" s="142"/>
      <c r="AB100" s="142"/>
      <c r="AC100" s="142"/>
      <c r="AD100" s="142"/>
      <c r="AE100" s="142"/>
      <c r="AF100" s="142"/>
      <c r="AG100" s="142"/>
      <c r="AH100" s="142"/>
      <c r="AI100" s="142"/>
      <c r="AJ100" s="142"/>
      <c r="AK100" s="142"/>
      <c r="AL100" s="142"/>
      <c r="AM100" s="142"/>
      <c r="AN100" s="142"/>
      <c r="AO100" s="142"/>
      <c r="AP100" s="142"/>
      <c r="AQ100" s="142"/>
      <c r="AR100" s="142"/>
      <c r="AS100" s="142"/>
      <c r="AT100" s="142"/>
      <c r="AU100" s="142"/>
      <c r="AV100" s="132"/>
      <c r="AW100" s="133"/>
      <c r="AX100" s="133"/>
      <c r="AY100" s="133"/>
      <c r="AZ100" s="133"/>
      <c r="BA100" s="133"/>
      <c r="BB100" s="133"/>
      <c r="BC100" s="133"/>
      <c r="BD100" s="133"/>
      <c r="BE100" s="133"/>
      <c r="BF100" s="133"/>
      <c r="BG100" s="133"/>
      <c r="BH100" s="133"/>
      <c r="BI100" s="133"/>
      <c r="BJ100" s="133"/>
      <c r="BK100" s="133"/>
      <c r="BL100" s="133"/>
      <c r="BM100" s="133"/>
      <c r="BN100" s="133"/>
      <c r="BO100" s="133"/>
      <c r="BP100" s="133"/>
      <c r="BQ100" s="133"/>
      <c r="BR100" s="133"/>
      <c r="BS100" s="133"/>
      <c r="BT100" s="133"/>
      <c r="BU100" s="133"/>
      <c r="BV100" s="133"/>
      <c r="BW100" s="133"/>
      <c r="BX100" s="133"/>
    </row>
    <row r="101" spans="1:253" ht="12.75">
      <c r="A101" s="132" t="s">
        <v>62</v>
      </c>
      <c r="B101" s="133"/>
      <c r="C101" s="132"/>
      <c r="D101" s="133"/>
      <c r="E101" s="133"/>
      <c r="F101" s="132" t="s">
        <v>438</v>
      </c>
      <c r="G101" s="133"/>
      <c r="H101" s="133"/>
      <c r="I101" s="133"/>
      <c r="J101" s="133"/>
      <c r="K101" s="133"/>
      <c r="L101" s="132" t="s">
        <v>829</v>
      </c>
      <c r="M101" s="133"/>
      <c r="N101" s="133"/>
      <c r="O101" s="133"/>
      <c r="P101" s="133"/>
      <c r="Q101" s="133"/>
      <c r="R101" s="133"/>
      <c r="S101" s="133"/>
      <c r="T101" s="133"/>
      <c r="U101" s="133"/>
      <c r="V101" s="133"/>
      <c r="W101" s="133"/>
      <c r="X101" s="133"/>
      <c r="Y101" s="133"/>
      <c r="Z101" s="133"/>
      <c r="AA101" s="133"/>
      <c r="AB101" s="133"/>
      <c r="AC101" s="133"/>
      <c r="AD101" s="133"/>
      <c r="AE101" s="133"/>
      <c r="AF101" s="133"/>
      <c r="AG101" s="133"/>
      <c r="AH101" s="133"/>
      <c r="AI101" s="133"/>
      <c r="AJ101" s="133"/>
      <c r="AK101" s="133"/>
      <c r="AL101" s="133"/>
      <c r="AM101" s="133"/>
      <c r="AN101" s="133"/>
      <c r="AO101" s="133"/>
      <c r="AP101" s="133"/>
      <c r="AQ101" s="133"/>
      <c r="AR101" s="133"/>
      <c r="AS101" s="133"/>
      <c r="AT101" s="133"/>
      <c r="AU101" s="133"/>
      <c r="AV101" s="132" t="s">
        <v>1151</v>
      </c>
      <c r="AW101" s="133"/>
      <c r="AX101" s="134">
        <f>'Stavební rozpočet'!F102</f>
        <v>51.726</v>
      </c>
      <c r="AY101" s="135"/>
      <c r="AZ101" s="135"/>
      <c r="BA101" s="135"/>
      <c r="BB101" s="135"/>
      <c r="BC101" s="134">
        <f>'Stavební rozpočet'!G102</f>
        <v>0</v>
      </c>
      <c r="BD101" s="135"/>
      <c r="BE101" s="135"/>
      <c r="BF101" s="135"/>
      <c r="BG101" s="135"/>
      <c r="BH101" s="135"/>
      <c r="BI101" s="135"/>
      <c r="BJ101" s="135"/>
      <c r="BK101" s="134">
        <f>IR101*AX101+IS101*AX101</f>
        <v>0</v>
      </c>
      <c r="BL101" s="135"/>
      <c r="BM101" s="135"/>
      <c r="BN101" s="135"/>
      <c r="BO101" s="135"/>
      <c r="BP101" s="135"/>
      <c r="BQ101" s="135"/>
      <c r="BR101" s="135"/>
      <c r="BS101" s="132" t="s">
        <v>1177</v>
      </c>
      <c r="BT101" s="133"/>
      <c r="BU101" s="133"/>
      <c r="BV101" s="133"/>
      <c r="BW101" s="133"/>
      <c r="BX101" s="133"/>
      <c r="IR101" s="46">
        <f>BC101*0.084729586426299</f>
        <v>0</v>
      </c>
      <c r="IS101" s="46">
        <f>BC101*(1-0.084729586426299)</f>
        <v>0</v>
      </c>
    </row>
    <row r="102" spans="1:76" ht="12.75">
      <c r="A102" s="132"/>
      <c r="B102" s="133"/>
      <c r="C102" s="133"/>
      <c r="D102" s="133"/>
      <c r="E102" s="133"/>
      <c r="F102" s="133"/>
      <c r="G102" s="133"/>
      <c r="H102" s="133"/>
      <c r="I102" s="133"/>
      <c r="J102" s="133"/>
      <c r="K102" s="133"/>
      <c r="L102" s="141" t="s">
        <v>827</v>
      </c>
      <c r="M102" s="142"/>
      <c r="N102" s="142"/>
      <c r="O102" s="142"/>
      <c r="P102" s="142"/>
      <c r="Q102" s="142"/>
      <c r="R102" s="142"/>
      <c r="S102" s="142"/>
      <c r="T102" s="142"/>
      <c r="U102" s="142"/>
      <c r="V102" s="142"/>
      <c r="W102" s="142"/>
      <c r="X102" s="142"/>
      <c r="Y102" s="142"/>
      <c r="Z102" s="142"/>
      <c r="AA102" s="142"/>
      <c r="AB102" s="142"/>
      <c r="AC102" s="142"/>
      <c r="AD102" s="142"/>
      <c r="AE102" s="142"/>
      <c r="AF102" s="142"/>
      <c r="AG102" s="142"/>
      <c r="AH102" s="142"/>
      <c r="AI102" s="142"/>
      <c r="AJ102" s="142"/>
      <c r="AK102" s="142"/>
      <c r="AL102" s="142"/>
      <c r="AM102" s="142"/>
      <c r="AN102" s="142"/>
      <c r="AO102" s="142"/>
      <c r="AP102" s="142"/>
      <c r="AQ102" s="142"/>
      <c r="AR102" s="142"/>
      <c r="AS102" s="142"/>
      <c r="AT102" s="142"/>
      <c r="AU102" s="142"/>
      <c r="AV102" s="132"/>
      <c r="AW102" s="133"/>
      <c r="AX102" s="133"/>
      <c r="AY102" s="133"/>
      <c r="AZ102" s="133"/>
      <c r="BA102" s="133"/>
      <c r="BB102" s="133"/>
      <c r="BC102" s="133"/>
      <c r="BD102" s="133"/>
      <c r="BE102" s="133"/>
      <c r="BF102" s="133"/>
      <c r="BG102" s="133"/>
      <c r="BH102" s="133"/>
      <c r="BI102" s="133"/>
      <c r="BJ102" s="133"/>
      <c r="BK102" s="133"/>
      <c r="BL102" s="133"/>
      <c r="BM102" s="133"/>
      <c r="BN102" s="133"/>
      <c r="BO102" s="133"/>
      <c r="BP102" s="133"/>
      <c r="BQ102" s="133"/>
      <c r="BR102" s="133"/>
      <c r="BS102" s="133"/>
      <c r="BT102" s="133"/>
      <c r="BU102" s="133"/>
      <c r="BV102" s="133"/>
      <c r="BW102" s="133"/>
      <c r="BX102" s="133"/>
    </row>
    <row r="103" spans="1:253" ht="12.75">
      <c r="A103" s="143" t="s">
        <v>63</v>
      </c>
      <c r="B103" s="144"/>
      <c r="C103" s="143"/>
      <c r="D103" s="144"/>
      <c r="E103" s="144"/>
      <c r="F103" s="143" t="s">
        <v>439</v>
      </c>
      <c r="G103" s="144"/>
      <c r="H103" s="144"/>
      <c r="I103" s="144"/>
      <c r="J103" s="144"/>
      <c r="K103" s="144"/>
      <c r="L103" s="143" t="s">
        <v>830</v>
      </c>
      <c r="M103" s="144"/>
      <c r="N103" s="144"/>
      <c r="O103" s="144"/>
      <c r="P103" s="144"/>
      <c r="Q103" s="144"/>
      <c r="R103" s="144"/>
      <c r="S103" s="144"/>
      <c r="T103" s="144"/>
      <c r="U103" s="144"/>
      <c r="V103" s="144"/>
      <c r="W103" s="144"/>
      <c r="X103" s="144"/>
      <c r="Y103" s="144"/>
      <c r="Z103" s="144"/>
      <c r="AA103" s="144"/>
      <c r="AB103" s="144"/>
      <c r="AC103" s="144"/>
      <c r="AD103" s="144"/>
      <c r="AE103" s="144"/>
      <c r="AF103" s="144"/>
      <c r="AG103" s="144"/>
      <c r="AH103" s="144"/>
      <c r="AI103" s="144"/>
      <c r="AJ103" s="144"/>
      <c r="AK103" s="144"/>
      <c r="AL103" s="144"/>
      <c r="AM103" s="144"/>
      <c r="AN103" s="144"/>
      <c r="AO103" s="144"/>
      <c r="AP103" s="144"/>
      <c r="AQ103" s="144"/>
      <c r="AR103" s="144"/>
      <c r="AS103" s="144"/>
      <c r="AT103" s="144"/>
      <c r="AU103" s="144"/>
      <c r="AV103" s="143" t="s">
        <v>1151</v>
      </c>
      <c r="AW103" s="144"/>
      <c r="AX103" s="145">
        <f>'Stavební rozpočet'!F104</f>
        <v>56.8986</v>
      </c>
      <c r="AY103" s="146"/>
      <c r="AZ103" s="146"/>
      <c r="BA103" s="146"/>
      <c r="BB103" s="146"/>
      <c r="BC103" s="145">
        <f>'Stavební rozpočet'!G104</f>
        <v>0</v>
      </c>
      <c r="BD103" s="146"/>
      <c r="BE103" s="146"/>
      <c r="BF103" s="146"/>
      <c r="BG103" s="146"/>
      <c r="BH103" s="146"/>
      <c r="BI103" s="146"/>
      <c r="BJ103" s="146"/>
      <c r="BK103" s="145">
        <f>IR103*AX103+IS103*AX103</f>
        <v>0</v>
      </c>
      <c r="BL103" s="146"/>
      <c r="BM103" s="146"/>
      <c r="BN103" s="146"/>
      <c r="BO103" s="146"/>
      <c r="BP103" s="146"/>
      <c r="BQ103" s="146"/>
      <c r="BR103" s="146"/>
      <c r="BS103" s="143" t="s">
        <v>1177</v>
      </c>
      <c r="BT103" s="144"/>
      <c r="BU103" s="144"/>
      <c r="BV103" s="144"/>
      <c r="BW103" s="144"/>
      <c r="BX103" s="144"/>
      <c r="IR103" s="47">
        <f>BC103*1</f>
        <v>0</v>
      </c>
      <c r="IS103" s="47">
        <f>BC103*(1-1)</f>
        <v>0</v>
      </c>
    </row>
    <row r="104" spans="1:253" ht="12.75">
      <c r="A104" s="132" t="s">
        <v>64</v>
      </c>
      <c r="B104" s="133"/>
      <c r="C104" s="132"/>
      <c r="D104" s="133"/>
      <c r="E104" s="133"/>
      <c r="F104" s="132" t="s">
        <v>440</v>
      </c>
      <c r="G104" s="133"/>
      <c r="H104" s="133"/>
      <c r="I104" s="133"/>
      <c r="J104" s="133"/>
      <c r="K104" s="133"/>
      <c r="L104" s="132" t="s">
        <v>831</v>
      </c>
      <c r="M104" s="133"/>
      <c r="N104" s="133"/>
      <c r="O104" s="133"/>
      <c r="P104" s="133"/>
      <c r="Q104" s="133"/>
      <c r="R104" s="133"/>
      <c r="S104" s="133"/>
      <c r="T104" s="133"/>
      <c r="U104" s="133"/>
      <c r="V104" s="133"/>
      <c r="W104" s="133"/>
      <c r="X104" s="133"/>
      <c r="Y104" s="133"/>
      <c r="Z104" s="133"/>
      <c r="AA104" s="133"/>
      <c r="AB104" s="133"/>
      <c r="AC104" s="133"/>
      <c r="AD104" s="133"/>
      <c r="AE104" s="133"/>
      <c r="AF104" s="133"/>
      <c r="AG104" s="133"/>
      <c r="AH104" s="133"/>
      <c r="AI104" s="133"/>
      <c r="AJ104" s="133"/>
      <c r="AK104" s="133"/>
      <c r="AL104" s="133"/>
      <c r="AM104" s="133"/>
      <c r="AN104" s="133"/>
      <c r="AO104" s="133"/>
      <c r="AP104" s="133"/>
      <c r="AQ104" s="133"/>
      <c r="AR104" s="133"/>
      <c r="AS104" s="133"/>
      <c r="AT104" s="133"/>
      <c r="AU104" s="133"/>
      <c r="AV104" s="132" t="s">
        <v>1151</v>
      </c>
      <c r="AW104" s="133"/>
      <c r="AX104" s="134">
        <f>'Stavební rozpočet'!F105</f>
        <v>15.1632</v>
      </c>
      <c r="AY104" s="135"/>
      <c r="AZ104" s="135"/>
      <c r="BA104" s="135"/>
      <c r="BB104" s="135"/>
      <c r="BC104" s="134">
        <f>'Stavební rozpočet'!G105</f>
        <v>0</v>
      </c>
      <c r="BD104" s="135"/>
      <c r="BE104" s="135"/>
      <c r="BF104" s="135"/>
      <c r="BG104" s="135"/>
      <c r="BH104" s="135"/>
      <c r="BI104" s="135"/>
      <c r="BJ104" s="135"/>
      <c r="BK104" s="134">
        <f>IR104*AX104+IS104*AX104</f>
        <v>0</v>
      </c>
      <c r="BL104" s="135"/>
      <c r="BM104" s="135"/>
      <c r="BN104" s="135"/>
      <c r="BO104" s="135"/>
      <c r="BP104" s="135"/>
      <c r="BQ104" s="135"/>
      <c r="BR104" s="135"/>
      <c r="BS104" s="132" t="s">
        <v>1177</v>
      </c>
      <c r="BT104" s="133"/>
      <c r="BU104" s="133"/>
      <c r="BV104" s="133"/>
      <c r="BW104" s="133"/>
      <c r="BX104" s="133"/>
      <c r="IR104" s="46">
        <f>BC104*0.107892376681614</f>
        <v>0</v>
      </c>
      <c r="IS104" s="46">
        <f>BC104*(1-0.107892376681614)</f>
        <v>0</v>
      </c>
    </row>
    <row r="105" spans="1:76" ht="12.75">
      <c r="A105" s="132"/>
      <c r="B105" s="133"/>
      <c r="C105" s="133"/>
      <c r="D105" s="133"/>
      <c r="E105" s="133"/>
      <c r="F105" s="133"/>
      <c r="G105" s="133"/>
      <c r="H105" s="133"/>
      <c r="I105" s="133"/>
      <c r="J105" s="133"/>
      <c r="K105" s="133"/>
      <c r="L105" s="141" t="s">
        <v>827</v>
      </c>
      <c r="M105" s="142"/>
      <c r="N105" s="142"/>
      <c r="O105" s="142"/>
      <c r="P105" s="142"/>
      <c r="Q105" s="142"/>
      <c r="R105" s="142"/>
      <c r="S105" s="142"/>
      <c r="T105" s="142"/>
      <c r="U105" s="142"/>
      <c r="V105" s="142"/>
      <c r="W105" s="142"/>
      <c r="X105" s="142"/>
      <c r="Y105" s="142"/>
      <c r="Z105" s="142"/>
      <c r="AA105" s="142"/>
      <c r="AB105" s="142"/>
      <c r="AC105" s="142"/>
      <c r="AD105" s="142"/>
      <c r="AE105" s="142"/>
      <c r="AF105" s="142"/>
      <c r="AG105" s="142"/>
      <c r="AH105" s="142"/>
      <c r="AI105" s="142"/>
      <c r="AJ105" s="142"/>
      <c r="AK105" s="142"/>
      <c r="AL105" s="142"/>
      <c r="AM105" s="142"/>
      <c r="AN105" s="142"/>
      <c r="AO105" s="142"/>
      <c r="AP105" s="142"/>
      <c r="AQ105" s="142"/>
      <c r="AR105" s="142"/>
      <c r="AS105" s="142"/>
      <c r="AT105" s="142"/>
      <c r="AU105" s="142"/>
      <c r="AV105" s="132"/>
      <c r="AW105" s="133"/>
      <c r="AX105" s="133"/>
      <c r="AY105" s="133"/>
      <c r="AZ105" s="133"/>
      <c r="BA105" s="133"/>
      <c r="BB105" s="133"/>
      <c r="BC105" s="133"/>
      <c r="BD105" s="133"/>
      <c r="BE105" s="133"/>
      <c r="BF105" s="133"/>
      <c r="BG105" s="133"/>
      <c r="BH105" s="133"/>
      <c r="BI105" s="133"/>
      <c r="BJ105" s="133"/>
      <c r="BK105" s="133"/>
      <c r="BL105" s="133"/>
      <c r="BM105" s="133"/>
      <c r="BN105" s="133"/>
      <c r="BO105" s="133"/>
      <c r="BP105" s="133"/>
      <c r="BQ105" s="133"/>
      <c r="BR105" s="133"/>
      <c r="BS105" s="133"/>
      <c r="BT105" s="133"/>
      <c r="BU105" s="133"/>
      <c r="BV105" s="133"/>
      <c r="BW105" s="133"/>
      <c r="BX105" s="133"/>
    </row>
    <row r="106" spans="1:253" ht="12.75">
      <c r="A106" s="143" t="s">
        <v>65</v>
      </c>
      <c r="B106" s="144"/>
      <c r="C106" s="143"/>
      <c r="D106" s="144"/>
      <c r="E106" s="144"/>
      <c r="F106" s="143" t="s">
        <v>439</v>
      </c>
      <c r="G106" s="144"/>
      <c r="H106" s="144"/>
      <c r="I106" s="144"/>
      <c r="J106" s="144"/>
      <c r="K106" s="144"/>
      <c r="L106" s="143" t="s">
        <v>830</v>
      </c>
      <c r="M106" s="144"/>
      <c r="N106" s="144"/>
      <c r="O106" s="144"/>
      <c r="P106" s="144"/>
      <c r="Q106" s="144"/>
      <c r="R106" s="144"/>
      <c r="S106" s="144"/>
      <c r="T106" s="144"/>
      <c r="U106" s="144"/>
      <c r="V106" s="144"/>
      <c r="W106" s="144"/>
      <c r="X106" s="144"/>
      <c r="Y106" s="144"/>
      <c r="Z106" s="144"/>
      <c r="AA106" s="144"/>
      <c r="AB106" s="144"/>
      <c r="AC106" s="144"/>
      <c r="AD106" s="144"/>
      <c r="AE106" s="144"/>
      <c r="AF106" s="144"/>
      <c r="AG106" s="144"/>
      <c r="AH106" s="144"/>
      <c r="AI106" s="144"/>
      <c r="AJ106" s="144"/>
      <c r="AK106" s="144"/>
      <c r="AL106" s="144"/>
      <c r="AM106" s="144"/>
      <c r="AN106" s="144"/>
      <c r="AO106" s="144"/>
      <c r="AP106" s="144"/>
      <c r="AQ106" s="144"/>
      <c r="AR106" s="144"/>
      <c r="AS106" s="144"/>
      <c r="AT106" s="144"/>
      <c r="AU106" s="144"/>
      <c r="AV106" s="143" t="s">
        <v>1151</v>
      </c>
      <c r="AW106" s="144"/>
      <c r="AX106" s="145">
        <f>'Stavební rozpočet'!F107</f>
        <v>17.43768</v>
      </c>
      <c r="AY106" s="146"/>
      <c r="AZ106" s="146"/>
      <c r="BA106" s="146"/>
      <c r="BB106" s="146"/>
      <c r="BC106" s="145">
        <f>'Stavební rozpočet'!G107</f>
        <v>0</v>
      </c>
      <c r="BD106" s="146"/>
      <c r="BE106" s="146"/>
      <c r="BF106" s="146"/>
      <c r="BG106" s="146"/>
      <c r="BH106" s="146"/>
      <c r="BI106" s="146"/>
      <c r="BJ106" s="146"/>
      <c r="BK106" s="145">
        <f>IR106*AX106+IS106*AX106</f>
        <v>0</v>
      </c>
      <c r="BL106" s="146"/>
      <c r="BM106" s="146"/>
      <c r="BN106" s="146"/>
      <c r="BO106" s="146"/>
      <c r="BP106" s="146"/>
      <c r="BQ106" s="146"/>
      <c r="BR106" s="146"/>
      <c r="BS106" s="143" t="s">
        <v>1177</v>
      </c>
      <c r="BT106" s="144"/>
      <c r="BU106" s="144"/>
      <c r="BV106" s="144"/>
      <c r="BW106" s="144"/>
      <c r="BX106" s="144"/>
      <c r="IR106" s="47">
        <f>BC106*1</f>
        <v>0</v>
      </c>
      <c r="IS106" s="47">
        <f>BC106*(1-1)</f>
        <v>0</v>
      </c>
    </row>
    <row r="107" spans="1:253" ht="12.75">
      <c r="A107" s="132" t="s">
        <v>66</v>
      </c>
      <c r="B107" s="133"/>
      <c r="C107" s="132"/>
      <c r="D107" s="133"/>
      <c r="E107" s="133"/>
      <c r="F107" s="132" t="s">
        <v>441</v>
      </c>
      <c r="G107" s="133"/>
      <c r="H107" s="133"/>
      <c r="I107" s="133"/>
      <c r="J107" s="133"/>
      <c r="K107" s="133"/>
      <c r="L107" s="132" t="s">
        <v>832</v>
      </c>
      <c r="M107" s="133"/>
      <c r="N107" s="133"/>
      <c r="O107" s="133"/>
      <c r="P107" s="133"/>
      <c r="Q107" s="133"/>
      <c r="R107" s="133"/>
      <c r="S107" s="133"/>
      <c r="T107" s="133"/>
      <c r="U107" s="133"/>
      <c r="V107" s="133"/>
      <c r="W107" s="133"/>
      <c r="X107" s="133"/>
      <c r="Y107" s="133"/>
      <c r="Z107" s="133"/>
      <c r="AA107" s="133"/>
      <c r="AB107" s="133"/>
      <c r="AC107" s="133"/>
      <c r="AD107" s="133"/>
      <c r="AE107" s="133"/>
      <c r="AF107" s="133"/>
      <c r="AG107" s="133"/>
      <c r="AH107" s="133"/>
      <c r="AI107" s="133"/>
      <c r="AJ107" s="133"/>
      <c r="AK107" s="133"/>
      <c r="AL107" s="133"/>
      <c r="AM107" s="133"/>
      <c r="AN107" s="133"/>
      <c r="AO107" s="133"/>
      <c r="AP107" s="133"/>
      <c r="AQ107" s="133"/>
      <c r="AR107" s="133"/>
      <c r="AS107" s="133"/>
      <c r="AT107" s="133"/>
      <c r="AU107" s="133"/>
      <c r="AV107" s="132" t="s">
        <v>1151</v>
      </c>
      <c r="AW107" s="133"/>
      <c r="AX107" s="134">
        <f>'Stavební rozpočet'!F108</f>
        <v>40.91</v>
      </c>
      <c r="AY107" s="135"/>
      <c r="AZ107" s="135"/>
      <c r="BA107" s="135"/>
      <c r="BB107" s="135"/>
      <c r="BC107" s="134">
        <f>'Stavební rozpočet'!G108</f>
        <v>0</v>
      </c>
      <c r="BD107" s="135"/>
      <c r="BE107" s="135"/>
      <c r="BF107" s="135"/>
      <c r="BG107" s="135"/>
      <c r="BH107" s="135"/>
      <c r="BI107" s="135"/>
      <c r="BJ107" s="135"/>
      <c r="BK107" s="134">
        <f>IR107*AX107+IS107*AX107</f>
        <v>0</v>
      </c>
      <c r="BL107" s="135"/>
      <c r="BM107" s="135"/>
      <c r="BN107" s="135"/>
      <c r="BO107" s="135"/>
      <c r="BP107" s="135"/>
      <c r="BQ107" s="135"/>
      <c r="BR107" s="135"/>
      <c r="BS107" s="132" t="s">
        <v>1177</v>
      </c>
      <c r="BT107" s="133"/>
      <c r="BU107" s="133"/>
      <c r="BV107" s="133"/>
      <c r="BW107" s="133"/>
      <c r="BX107" s="133"/>
      <c r="IR107" s="46">
        <f>BC107*0.593931731984829</f>
        <v>0</v>
      </c>
      <c r="IS107" s="46">
        <f>BC107*(1-0.593931731984829)</f>
        <v>0</v>
      </c>
    </row>
    <row r="108" spans="1:253" ht="12.75">
      <c r="A108" s="132" t="s">
        <v>67</v>
      </c>
      <c r="B108" s="133"/>
      <c r="C108" s="132"/>
      <c r="D108" s="133"/>
      <c r="E108" s="133"/>
      <c r="F108" s="132" t="s">
        <v>442</v>
      </c>
      <c r="G108" s="133"/>
      <c r="H108" s="133"/>
      <c r="I108" s="133"/>
      <c r="J108" s="133"/>
      <c r="K108" s="133"/>
      <c r="L108" s="132" t="s">
        <v>833</v>
      </c>
      <c r="M108" s="133"/>
      <c r="N108" s="133"/>
      <c r="O108" s="133"/>
      <c r="P108" s="133"/>
      <c r="Q108" s="133"/>
      <c r="R108" s="133"/>
      <c r="S108" s="133"/>
      <c r="T108" s="133"/>
      <c r="U108" s="133"/>
      <c r="V108" s="133"/>
      <c r="W108" s="133"/>
      <c r="X108" s="133"/>
      <c r="Y108" s="133"/>
      <c r="Z108" s="133"/>
      <c r="AA108" s="133"/>
      <c r="AB108" s="133"/>
      <c r="AC108" s="133"/>
      <c r="AD108" s="133"/>
      <c r="AE108" s="133"/>
      <c r="AF108" s="133"/>
      <c r="AG108" s="133"/>
      <c r="AH108" s="133"/>
      <c r="AI108" s="133"/>
      <c r="AJ108" s="133"/>
      <c r="AK108" s="133"/>
      <c r="AL108" s="133"/>
      <c r="AM108" s="133"/>
      <c r="AN108" s="133"/>
      <c r="AO108" s="133"/>
      <c r="AP108" s="133"/>
      <c r="AQ108" s="133"/>
      <c r="AR108" s="133"/>
      <c r="AS108" s="133"/>
      <c r="AT108" s="133"/>
      <c r="AU108" s="133"/>
      <c r="AV108" s="132" t="s">
        <v>1151</v>
      </c>
      <c r="AW108" s="133"/>
      <c r="AX108" s="134">
        <f>'Stavební rozpočet'!F109</f>
        <v>15.624</v>
      </c>
      <c r="AY108" s="135"/>
      <c r="AZ108" s="135"/>
      <c r="BA108" s="135"/>
      <c r="BB108" s="135"/>
      <c r="BC108" s="134">
        <f>'Stavební rozpočet'!G109</f>
        <v>0</v>
      </c>
      <c r="BD108" s="135"/>
      <c r="BE108" s="135"/>
      <c r="BF108" s="135"/>
      <c r="BG108" s="135"/>
      <c r="BH108" s="135"/>
      <c r="BI108" s="135"/>
      <c r="BJ108" s="135"/>
      <c r="BK108" s="134">
        <f>IR108*AX108+IS108*AX108</f>
        <v>0</v>
      </c>
      <c r="BL108" s="135"/>
      <c r="BM108" s="135"/>
      <c r="BN108" s="135"/>
      <c r="BO108" s="135"/>
      <c r="BP108" s="135"/>
      <c r="BQ108" s="135"/>
      <c r="BR108" s="135"/>
      <c r="BS108" s="132" t="s">
        <v>1177</v>
      </c>
      <c r="BT108" s="133"/>
      <c r="BU108" s="133"/>
      <c r="BV108" s="133"/>
      <c r="BW108" s="133"/>
      <c r="BX108" s="133"/>
      <c r="IR108" s="46">
        <f>BC108*0.593915040183697</f>
        <v>0</v>
      </c>
      <c r="IS108" s="46">
        <f>BC108*(1-0.593915040183697)</f>
        <v>0</v>
      </c>
    </row>
    <row r="109" spans="1:253" ht="12.75">
      <c r="A109" s="132" t="s">
        <v>68</v>
      </c>
      <c r="B109" s="133"/>
      <c r="C109" s="132"/>
      <c r="D109" s="133"/>
      <c r="E109" s="133"/>
      <c r="F109" s="132" t="s">
        <v>443</v>
      </c>
      <c r="G109" s="133"/>
      <c r="H109" s="133"/>
      <c r="I109" s="133"/>
      <c r="J109" s="133"/>
      <c r="K109" s="133"/>
      <c r="L109" s="132" t="s">
        <v>834</v>
      </c>
      <c r="M109" s="133"/>
      <c r="N109" s="133"/>
      <c r="O109" s="133"/>
      <c r="P109" s="133"/>
      <c r="Q109" s="133"/>
      <c r="R109" s="133"/>
      <c r="S109" s="133"/>
      <c r="T109" s="133"/>
      <c r="U109" s="133"/>
      <c r="V109" s="133"/>
      <c r="W109" s="133"/>
      <c r="X109" s="133"/>
      <c r="Y109" s="133"/>
      <c r="Z109" s="133"/>
      <c r="AA109" s="133"/>
      <c r="AB109" s="133"/>
      <c r="AC109" s="133"/>
      <c r="AD109" s="133"/>
      <c r="AE109" s="133"/>
      <c r="AF109" s="133"/>
      <c r="AG109" s="133"/>
      <c r="AH109" s="133"/>
      <c r="AI109" s="133"/>
      <c r="AJ109" s="133"/>
      <c r="AK109" s="133"/>
      <c r="AL109" s="133"/>
      <c r="AM109" s="133"/>
      <c r="AN109" s="133"/>
      <c r="AO109" s="133"/>
      <c r="AP109" s="133"/>
      <c r="AQ109" s="133"/>
      <c r="AR109" s="133"/>
      <c r="AS109" s="133"/>
      <c r="AT109" s="133"/>
      <c r="AU109" s="133"/>
      <c r="AV109" s="132" t="s">
        <v>1151</v>
      </c>
      <c r="AW109" s="133"/>
      <c r="AX109" s="134">
        <f>'Stavební rozpočet'!F110</f>
        <v>40.91</v>
      </c>
      <c r="AY109" s="135"/>
      <c r="AZ109" s="135"/>
      <c r="BA109" s="135"/>
      <c r="BB109" s="135"/>
      <c r="BC109" s="134">
        <f>'Stavební rozpočet'!G110</f>
        <v>0</v>
      </c>
      <c r="BD109" s="135"/>
      <c r="BE109" s="135"/>
      <c r="BF109" s="135"/>
      <c r="BG109" s="135"/>
      <c r="BH109" s="135"/>
      <c r="BI109" s="135"/>
      <c r="BJ109" s="135"/>
      <c r="BK109" s="134">
        <f>IR109*AX109+IS109*AX109</f>
        <v>0</v>
      </c>
      <c r="BL109" s="135"/>
      <c r="BM109" s="135"/>
      <c r="BN109" s="135"/>
      <c r="BO109" s="135"/>
      <c r="BP109" s="135"/>
      <c r="BQ109" s="135"/>
      <c r="BR109" s="135"/>
      <c r="BS109" s="132" t="s">
        <v>1177</v>
      </c>
      <c r="BT109" s="133"/>
      <c r="BU109" s="133"/>
      <c r="BV109" s="133"/>
      <c r="BW109" s="133"/>
      <c r="BX109" s="133"/>
      <c r="IR109" s="46">
        <f>BC109*0.478680394587893</f>
        <v>0</v>
      </c>
      <c r="IS109" s="46">
        <f>BC109*(1-0.478680394587893)</f>
        <v>0</v>
      </c>
    </row>
    <row r="110" spans="1:76" ht="12.75">
      <c r="A110" s="132"/>
      <c r="B110" s="133"/>
      <c r="C110" s="133"/>
      <c r="D110" s="133"/>
      <c r="E110" s="133"/>
      <c r="F110" s="133"/>
      <c r="G110" s="133"/>
      <c r="H110" s="133"/>
      <c r="I110" s="133"/>
      <c r="J110" s="133"/>
      <c r="K110" s="133"/>
      <c r="L110" s="141" t="s">
        <v>835</v>
      </c>
      <c r="M110" s="142"/>
      <c r="N110" s="142"/>
      <c r="O110" s="142"/>
      <c r="P110" s="142"/>
      <c r="Q110" s="142"/>
      <c r="R110" s="142"/>
      <c r="S110" s="142"/>
      <c r="T110" s="142"/>
      <c r="U110" s="142"/>
      <c r="V110" s="142"/>
      <c r="W110" s="142"/>
      <c r="X110" s="142"/>
      <c r="Y110" s="142"/>
      <c r="Z110" s="142"/>
      <c r="AA110" s="142"/>
      <c r="AB110" s="142"/>
      <c r="AC110" s="142"/>
      <c r="AD110" s="142"/>
      <c r="AE110" s="142"/>
      <c r="AF110" s="142"/>
      <c r="AG110" s="142"/>
      <c r="AH110" s="142"/>
      <c r="AI110" s="142"/>
      <c r="AJ110" s="142"/>
      <c r="AK110" s="142"/>
      <c r="AL110" s="142"/>
      <c r="AM110" s="142"/>
      <c r="AN110" s="142"/>
      <c r="AO110" s="142"/>
      <c r="AP110" s="142"/>
      <c r="AQ110" s="142"/>
      <c r="AR110" s="142"/>
      <c r="AS110" s="142"/>
      <c r="AT110" s="142"/>
      <c r="AU110" s="142"/>
      <c r="AV110" s="132"/>
      <c r="AW110" s="133"/>
      <c r="AX110" s="133"/>
      <c r="AY110" s="133"/>
      <c r="AZ110" s="133"/>
      <c r="BA110" s="133"/>
      <c r="BB110" s="133"/>
      <c r="BC110" s="133"/>
      <c r="BD110" s="133"/>
      <c r="BE110" s="133"/>
      <c r="BF110" s="133"/>
      <c r="BG110" s="133"/>
      <c r="BH110" s="133"/>
      <c r="BI110" s="133"/>
      <c r="BJ110" s="133"/>
      <c r="BK110" s="133"/>
      <c r="BL110" s="133"/>
      <c r="BM110" s="133"/>
      <c r="BN110" s="133"/>
      <c r="BO110" s="133"/>
      <c r="BP110" s="133"/>
      <c r="BQ110" s="133"/>
      <c r="BR110" s="133"/>
      <c r="BS110" s="133"/>
      <c r="BT110" s="133"/>
      <c r="BU110" s="133"/>
      <c r="BV110" s="133"/>
      <c r="BW110" s="133"/>
      <c r="BX110" s="133"/>
    </row>
    <row r="111" spans="1:253" ht="12.75">
      <c r="A111" s="132" t="s">
        <v>69</v>
      </c>
      <c r="B111" s="133"/>
      <c r="C111" s="132"/>
      <c r="D111" s="133"/>
      <c r="E111" s="133"/>
      <c r="F111" s="132" t="s">
        <v>444</v>
      </c>
      <c r="G111" s="133"/>
      <c r="H111" s="133"/>
      <c r="I111" s="133"/>
      <c r="J111" s="133"/>
      <c r="K111" s="133"/>
      <c r="L111" s="132" t="s">
        <v>836</v>
      </c>
      <c r="M111" s="133"/>
      <c r="N111" s="133"/>
      <c r="O111" s="133"/>
      <c r="P111" s="133"/>
      <c r="Q111" s="133"/>
      <c r="R111" s="133"/>
      <c r="S111" s="133"/>
      <c r="T111" s="133"/>
      <c r="U111" s="133"/>
      <c r="V111" s="133"/>
      <c r="W111" s="133"/>
      <c r="X111" s="133"/>
      <c r="Y111" s="133"/>
      <c r="Z111" s="133"/>
      <c r="AA111" s="133"/>
      <c r="AB111" s="133"/>
      <c r="AC111" s="133"/>
      <c r="AD111" s="133"/>
      <c r="AE111" s="133"/>
      <c r="AF111" s="133"/>
      <c r="AG111" s="133"/>
      <c r="AH111" s="133"/>
      <c r="AI111" s="133"/>
      <c r="AJ111" s="133"/>
      <c r="AK111" s="133"/>
      <c r="AL111" s="133"/>
      <c r="AM111" s="133"/>
      <c r="AN111" s="133"/>
      <c r="AO111" s="133"/>
      <c r="AP111" s="133"/>
      <c r="AQ111" s="133"/>
      <c r="AR111" s="133"/>
      <c r="AS111" s="133"/>
      <c r="AT111" s="133"/>
      <c r="AU111" s="133"/>
      <c r="AV111" s="132" t="s">
        <v>1151</v>
      </c>
      <c r="AW111" s="133"/>
      <c r="AX111" s="134">
        <f>'Stavební rozpočet'!F112</f>
        <v>15.624</v>
      </c>
      <c r="AY111" s="135"/>
      <c r="AZ111" s="135"/>
      <c r="BA111" s="135"/>
      <c r="BB111" s="135"/>
      <c r="BC111" s="134">
        <f>'Stavební rozpočet'!G112</f>
        <v>0</v>
      </c>
      <c r="BD111" s="135"/>
      <c r="BE111" s="135"/>
      <c r="BF111" s="135"/>
      <c r="BG111" s="135"/>
      <c r="BH111" s="135"/>
      <c r="BI111" s="135"/>
      <c r="BJ111" s="135"/>
      <c r="BK111" s="134">
        <f>IR111*AX111+IS111*AX111</f>
        <v>0</v>
      </c>
      <c r="BL111" s="135"/>
      <c r="BM111" s="135"/>
      <c r="BN111" s="135"/>
      <c r="BO111" s="135"/>
      <c r="BP111" s="135"/>
      <c r="BQ111" s="135"/>
      <c r="BR111" s="135"/>
      <c r="BS111" s="132" t="s">
        <v>1177</v>
      </c>
      <c r="BT111" s="133"/>
      <c r="BU111" s="133"/>
      <c r="BV111" s="133"/>
      <c r="BW111" s="133"/>
      <c r="BX111" s="133"/>
      <c r="IR111" s="46">
        <f>BC111*0.478694638694639</f>
        <v>0</v>
      </c>
      <c r="IS111" s="46">
        <f>BC111*(1-0.478694638694639)</f>
        <v>0</v>
      </c>
    </row>
    <row r="112" spans="1:76" ht="12.75">
      <c r="A112" s="132"/>
      <c r="B112" s="133"/>
      <c r="C112" s="133"/>
      <c r="D112" s="133"/>
      <c r="E112" s="133"/>
      <c r="F112" s="133"/>
      <c r="G112" s="133"/>
      <c r="H112" s="133"/>
      <c r="I112" s="133"/>
      <c r="J112" s="133"/>
      <c r="K112" s="133"/>
      <c r="L112" s="141" t="s">
        <v>835</v>
      </c>
      <c r="M112" s="142"/>
      <c r="N112" s="142"/>
      <c r="O112" s="142"/>
      <c r="P112" s="142"/>
      <c r="Q112" s="142"/>
      <c r="R112" s="142"/>
      <c r="S112" s="142"/>
      <c r="T112" s="142"/>
      <c r="U112" s="142"/>
      <c r="V112" s="142"/>
      <c r="W112" s="142"/>
      <c r="X112" s="142"/>
      <c r="Y112" s="142"/>
      <c r="Z112" s="142"/>
      <c r="AA112" s="142"/>
      <c r="AB112" s="142"/>
      <c r="AC112" s="142"/>
      <c r="AD112" s="142"/>
      <c r="AE112" s="142"/>
      <c r="AF112" s="142"/>
      <c r="AG112" s="142"/>
      <c r="AH112" s="142"/>
      <c r="AI112" s="142"/>
      <c r="AJ112" s="142"/>
      <c r="AK112" s="142"/>
      <c r="AL112" s="142"/>
      <c r="AM112" s="142"/>
      <c r="AN112" s="142"/>
      <c r="AO112" s="142"/>
      <c r="AP112" s="142"/>
      <c r="AQ112" s="142"/>
      <c r="AR112" s="142"/>
      <c r="AS112" s="142"/>
      <c r="AT112" s="142"/>
      <c r="AU112" s="142"/>
      <c r="AV112" s="132"/>
      <c r="AW112" s="133"/>
      <c r="AX112" s="133"/>
      <c r="AY112" s="133"/>
      <c r="AZ112" s="133"/>
      <c r="BA112" s="133"/>
      <c r="BB112" s="133"/>
      <c r="BC112" s="133"/>
      <c r="BD112" s="133"/>
      <c r="BE112" s="133"/>
      <c r="BF112" s="133"/>
      <c r="BG112" s="133"/>
      <c r="BH112" s="133"/>
      <c r="BI112" s="133"/>
      <c r="BJ112" s="133"/>
      <c r="BK112" s="133"/>
      <c r="BL112" s="133"/>
      <c r="BM112" s="133"/>
      <c r="BN112" s="133"/>
      <c r="BO112" s="133"/>
      <c r="BP112" s="133"/>
      <c r="BQ112" s="133"/>
      <c r="BR112" s="133"/>
      <c r="BS112" s="133"/>
      <c r="BT112" s="133"/>
      <c r="BU112" s="133"/>
      <c r="BV112" s="133"/>
      <c r="BW112" s="133"/>
      <c r="BX112" s="133"/>
    </row>
    <row r="113" spans="1:253" ht="12.75">
      <c r="A113" s="132" t="s">
        <v>70</v>
      </c>
      <c r="B113" s="133"/>
      <c r="C113" s="132"/>
      <c r="D113" s="133"/>
      <c r="E113" s="133"/>
      <c r="F113" s="132" t="s">
        <v>445</v>
      </c>
      <c r="G113" s="133"/>
      <c r="H113" s="133"/>
      <c r="I113" s="133"/>
      <c r="J113" s="133"/>
      <c r="K113" s="133"/>
      <c r="L113" s="132" t="s">
        <v>837</v>
      </c>
      <c r="M113" s="133"/>
      <c r="N113" s="133"/>
      <c r="O113" s="133"/>
      <c r="P113" s="133"/>
      <c r="Q113" s="133"/>
      <c r="R113" s="133"/>
      <c r="S113" s="133"/>
      <c r="T113" s="133"/>
      <c r="U113" s="133"/>
      <c r="V113" s="133"/>
      <c r="W113" s="133"/>
      <c r="X113" s="133"/>
      <c r="Y113" s="133"/>
      <c r="Z113" s="133"/>
      <c r="AA113" s="133"/>
      <c r="AB113" s="133"/>
      <c r="AC113" s="133"/>
      <c r="AD113" s="133"/>
      <c r="AE113" s="133"/>
      <c r="AF113" s="133"/>
      <c r="AG113" s="133"/>
      <c r="AH113" s="133"/>
      <c r="AI113" s="133"/>
      <c r="AJ113" s="133"/>
      <c r="AK113" s="133"/>
      <c r="AL113" s="133"/>
      <c r="AM113" s="133"/>
      <c r="AN113" s="133"/>
      <c r="AO113" s="133"/>
      <c r="AP113" s="133"/>
      <c r="AQ113" s="133"/>
      <c r="AR113" s="133"/>
      <c r="AS113" s="133"/>
      <c r="AT113" s="133"/>
      <c r="AU113" s="133"/>
      <c r="AV113" s="132" t="s">
        <v>1154</v>
      </c>
      <c r="AW113" s="133"/>
      <c r="AX113" s="134">
        <f>'Stavební rozpočet'!F114</f>
        <v>52.08</v>
      </c>
      <c r="AY113" s="135"/>
      <c r="AZ113" s="135"/>
      <c r="BA113" s="135"/>
      <c r="BB113" s="135"/>
      <c r="BC113" s="134">
        <f>'Stavební rozpočet'!G114</f>
        <v>0</v>
      </c>
      <c r="BD113" s="135"/>
      <c r="BE113" s="135"/>
      <c r="BF113" s="135"/>
      <c r="BG113" s="135"/>
      <c r="BH113" s="135"/>
      <c r="BI113" s="135"/>
      <c r="BJ113" s="135"/>
      <c r="BK113" s="134">
        <f>IR113*AX113+IS113*AX113</f>
        <v>0</v>
      </c>
      <c r="BL113" s="135"/>
      <c r="BM113" s="135"/>
      <c r="BN113" s="135"/>
      <c r="BO113" s="135"/>
      <c r="BP113" s="135"/>
      <c r="BQ113" s="135"/>
      <c r="BR113" s="135"/>
      <c r="BS113" s="132" t="s">
        <v>1177</v>
      </c>
      <c r="BT113" s="133"/>
      <c r="BU113" s="133"/>
      <c r="BV113" s="133"/>
      <c r="BW113" s="133"/>
      <c r="BX113" s="133"/>
      <c r="IR113" s="46">
        <f>BC113*0.62574072148872</f>
        <v>0</v>
      </c>
      <c r="IS113" s="46">
        <f>BC113*(1-0.62574072148872)</f>
        <v>0</v>
      </c>
    </row>
    <row r="114" spans="1:253" ht="12.75">
      <c r="A114" s="132" t="s">
        <v>71</v>
      </c>
      <c r="B114" s="133"/>
      <c r="C114" s="132"/>
      <c r="D114" s="133"/>
      <c r="E114" s="133"/>
      <c r="F114" s="132" t="s">
        <v>446</v>
      </c>
      <c r="G114" s="133"/>
      <c r="H114" s="133"/>
      <c r="I114" s="133"/>
      <c r="J114" s="133"/>
      <c r="K114" s="133"/>
      <c r="L114" s="132" t="s">
        <v>838</v>
      </c>
      <c r="M114" s="133"/>
      <c r="N114" s="133"/>
      <c r="O114" s="133"/>
      <c r="P114" s="133"/>
      <c r="Q114" s="133"/>
      <c r="R114" s="133"/>
      <c r="S114" s="133"/>
      <c r="T114" s="133"/>
      <c r="U114" s="133"/>
      <c r="V114" s="133"/>
      <c r="W114" s="133"/>
      <c r="X114" s="133"/>
      <c r="Y114" s="133"/>
      <c r="Z114" s="133"/>
      <c r="AA114" s="133"/>
      <c r="AB114" s="133"/>
      <c r="AC114" s="133"/>
      <c r="AD114" s="133"/>
      <c r="AE114" s="133"/>
      <c r="AF114" s="133"/>
      <c r="AG114" s="133"/>
      <c r="AH114" s="133"/>
      <c r="AI114" s="133"/>
      <c r="AJ114" s="133"/>
      <c r="AK114" s="133"/>
      <c r="AL114" s="133"/>
      <c r="AM114" s="133"/>
      <c r="AN114" s="133"/>
      <c r="AO114" s="133"/>
      <c r="AP114" s="133"/>
      <c r="AQ114" s="133"/>
      <c r="AR114" s="133"/>
      <c r="AS114" s="133"/>
      <c r="AT114" s="133"/>
      <c r="AU114" s="133"/>
      <c r="AV114" s="132" t="s">
        <v>1152</v>
      </c>
      <c r="AW114" s="133"/>
      <c r="AX114" s="134">
        <f>'Stavební rozpočet'!F115</f>
        <v>0.4953</v>
      </c>
      <c r="AY114" s="135"/>
      <c r="AZ114" s="135"/>
      <c r="BA114" s="135"/>
      <c r="BB114" s="135"/>
      <c r="BC114" s="134">
        <f>'Stavební rozpočet'!G115</f>
        <v>0</v>
      </c>
      <c r="BD114" s="135"/>
      <c r="BE114" s="135"/>
      <c r="BF114" s="135"/>
      <c r="BG114" s="135"/>
      <c r="BH114" s="135"/>
      <c r="BI114" s="135"/>
      <c r="BJ114" s="135"/>
      <c r="BK114" s="134">
        <f>IR114*AX114+IS114*AX114</f>
        <v>0</v>
      </c>
      <c r="BL114" s="135"/>
      <c r="BM114" s="135"/>
      <c r="BN114" s="135"/>
      <c r="BO114" s="135"/>
      <c r="BP114" s="135"/>
      <c r="BQ114" s="135"/>
      <c r="BR114" s="135"/>
      <c r="BS114" s="132" t="s">
        <v>1177</v>
      </c>
      <c r="BT114" s="133"/>
      <c r="BU114" s="133"/>
      <c r="BV114" s="133"/>
      <c r="BW114" s="133"/>
      <c r="BX114" s="133"/>
      <c r="IR114" s="46">
        <f>BC114*0</f>
        <v>0</v>
      </c>
      <c r="IS114" s="46">
        <f>BC114*(1-0)</f>
        <v>0</v>
      </c>
    </row>
    <row r="115" spans="1:76" ht="12.75">
      <c r="A115" s="136" t="s">
        <v>6</v>
      </c>
      <c r="B115" s="137"/>
      <c r="C115" s="136" t="s">
        <v>6</v>
      </c>
      <c r="D115" s="137"/>
      <c r="E115" s="137"/>
      <c r="F115" s="136" t="s">
        <v>447</v>
      </c>
      <c r="G115" s="137"/>
      <c r="H115" s="137"/>
      <c r="I115" s="137"/>
      <c r="J115" s="137"/>
      <c r="K115" s="137"/>
      <c r="L115" s="136" t="s">
        <v>839</v>
      </c>
      <c r="M115" s="137"/>
      <c r="N115" s="137"/>
      <c r="O115" s="137"/>
      <c r="P115" s="137"/>
      <c r="Q115" s="137"/>
      <c r="R115" s="137"/>
      <c r="S115" s="137"/>
      <c r="T115" s="137"/>
      <c r="U115" s="137"/>
      <c r="V115" s="137"/>
      <c r="W115" s="137"/>
      <c r="X115" s="137"/>
      <c r="Y115" s="137"/>
      <c r="Z115" s="137"/>
      <c r="AA115" s="137"/>
      <c r="AB115" s="137"/>
      <c r="AC115" s="137"/>
      <c r="AD115" s="137"/>
      <c r="AE115" s="137"/>
      <c r="AF115" s="137"/>
      <c r="AG115" s="137"/>
      <c r="AH115" s="137"/>
      <c r="AI115" s="137"/>
      <c r="AJ115" s="137"/>
      <c r="AK115" s="137"/>
      <c r="AL115" s="137"/>
      <c r="AM115" s="137"/>
      <c r="AN115" s="137"/>
      <c r="AO115" s="137"/>
      <c r="AP115" s="137"/>
      <c r="AQ115" s="137"/>
      <c r="AR115" s="137"/>
      <c r="AS115" s="137"/>
      <c r="AT115" s="137"/>
      <c r="AU115" s="137"/>
      <c r="AV115" s="136" t="s">
        <v>6</v>
      </c>
      <c r="AW115" s="137"/>
      <c r="AX115" s="138" t="s">
        <v>6</v>
      </c>
      <c r="AY115" s="139"/>
      <c r="AZ115" s="139"/>
      <c r="BA115" s="139"/>
      <c r="BB115" s="139"/>
      <c r="BC115" s="138" t="s">
        <v>6</v>
      </c>
      <c r="BD115" s="139"/>
      <c r="BE115" s="139"/>
      <c r="BF115" s="139"/>
      <c r="BG115" s="139"/>
      <c r="BH115" s="139"/>
      <c r="BI115" s="139"/>
      <c r="BJ115" s="139"/>
      <c r="BK115" s="140">
        <f>SUM(BK116:BK122)</f>
        <v>0</v>
      </c>
      <c r="BL115" s="139"/>
      <c r="BM115" s="139"/>
      <c r="BN115" s="139"/>
      <c r="BO115" s="139"/>
      <c r="BP115" s="139"/>
      <c r="BQ115" s="139"/>
      <c r="BR115" s="139"/>
      <c r="BS115" s="136" t="s">
        <v>6</v>
      </c>
      <c r="BT115" s="137"/>
      <c r="BU115" s="137"/>
      <c r="BV115" s="137"/>
      <c r="BW115" s="137"/>
      <c r="BX115" s="137"/>
    </row>
    <row r="116" spans="1:253" ht="12.75">
      <c r="A116" s="132" t="s">
        <v>72</v>
      </c>
      <c r="B116" s="133"/>
      <c r="C116" s="132"/>
      <c r="D116" s="133"/>
      <c r="E116" s="133"/>
      <c r="F116" s="132" t="s">
        <v>448</v>
      </c>
      <c r="G116" s="133"/>
      <c r="H116" s="133"/>
      <c r="I116" s="133"/>
      <c r="J116" s="133"/>
      <c r="K116" s="133"/>
      <c r="L116" s="132" t="s">
        <v>840</v>
      </c>
      <c r="M116" s="133"/>
      <c r="N116" s="133"/>
      <c r="O116" s="133"/>
      <c r="P116" s="133"/>
      <c r="Q116" s="133"/>
      <c r="R116" s="133"/>
      <c r="S116" s="133"/>
      <c r="T116" s="133"/>
      <c r="U116" s="133"/>
      <c r="V116" s="133"/>
      <c r="W116" s="133"/>
      <c r="X116" s="133"/>
      <c r="Y116" s="133"/>
      <c r="Z116" s="133"/>
      <c r="AA116" s="133"/>
      <c r="AB116" s="133"/>
      <c r="AC116" s="133"/>
      <c r="AD116" s="133"/>
      <c r="AE116" s="133"/>
      <c r="AF116" s="133"/>
      <c r="AG116" s="133"/>
      <c r="AH116" s="133"/>
      <c r="AI116" s="133"/>
      <c r="AJ116" s="133"/>
      <c r="AK116" s="133"/>
      <c r="AL116" s="133"/>
      <c r="AM116" s="133"/>
      <c r="AN116" s="133"/>
      <c r="AO116" s="133"/>
      <c r="AP116" s="133"/>
      <c r="AQ116" s="133"/>
      <c r="AR116" s="133"/>
      <c r="AS116" s="133"/>
      <c r="AT116" s="133"/>
      <c r="AU116" s="133"/>
      <c r="AV116" s="132" t="s">
        <v>1151</v>
      </c>
      <c r="AW116" s="133"/>
      <c r="AX116" s="134">
        <f>'Stavební rozpočet'!F117</f>
        <v>129.5508</v>
      </c>
      <c r="AY116" s="135"/>
      <c r="AZ116" s="135"/>
      <c r="BA116" s="135"/>
      <c r="BB116" s="135"/>
      <c r="BC116" s="134">
        <f>'Stavební rozpočet'!G117</f>
        <v>0</v>
      </c>
      <c r="BD116" s="135"/>
      <c r="BE116" s="135"/>
      <c r="BF116" s="135"/>
      <c r="BG116" s="135"/>
      <c r="BH116" s="135"/>
      <c r="BI116" s="135"/>
      <c r="BJ116" s="135"/>
      <c r="BK116" s="134">
        <f>IR116*AX116+IS116*AX116</f>
        <v>0</v>
      </c>
      <c r="BL116" s="135"/>
      <c r="BM116" s="135"/>
      <c r="BN116" s="135"/>
      <c r="BO116" s="135"/>
      <c r="BP116" s="135"/>
      <c r="BQ116" s="135"/>
      <c r="BR116" s="135"/>
      <c r="BS116" s="132" t="s">
        <v>1177</v>
      </c>
      <c r="BT116" s="133"/>
      <c r="BU116" s="133"/>
      <c r="BV116" s="133"/>
      <c r="BW116" s="133"/>
      <c r="BX116" s="133"/>
      <c r="IR116" s="46">
        <f>BC116*0</f>
        <v>0</v>
      </c>
      <c r="IS116" s="46">
        <f>BC116*(1-0)</f>
        <v>0</v>
      </c>
    </row>
    <row r="117" spans="1:76" ht="12.75">
      <c r="A117" s="132"/>
      <c r="B117" s="133"/>
      <c r="C117" s="133"/>
      <c r="D117" s="133"/>
      <c r="E117" s="133"/>
      <c r="F117" s="133"/>
      <c r="G117" s="133"/>
      <c r="H117" s="133"/>
      <c r="I117" s="133"/>
      <c r="J117" s="133"/>
      <c r="K117" s="133"/>
      <c r="L117" s="141" t="s">
        <v>841</v>
      </c>
      <c r="M117" s="142"/>
      <c r="N117" s="142"/>
      <c r="O117" s="142"/>
      <c r="P117" s="142"/>
      <c r="Q117" s="142"/>
      <c r="R117" s="142"/>
      <c r="S117" s="142"/>
      <c r="T117" s="142"/>
      <c r="U117" s="142"/>
      <c r="V117" s="142"/>
      <c r="W117" s="142"/>
      <c r="X117" s="142"/>
      <c r="Y117" s="142"/>
      <c r="Z117" s="142"/>
      <c r="AA117" s="142"/>
      <c r="AB117" s="142"/>
      <c r="AC117" s="142"/>
      <c r="AD117" s="142"/>
      <c r="AE117" s="142"/>
      <c r="AF117" s="142"/>
      <c r="AG117" s="142"/>
      <c r="AH117" s="142"/>
      <c r="AI117" s="142"/>
      <c r="AJ117" s="142"/>
      <c r="AK117" s="142"/>
      <c r="AL117" s="142"/>
      <c r="AM117" s="142"/>
      <c r="AN117" s="142"/>
      <c r="AO117" s="142"/>
      <c r="AP117" s="142"/>
      <c r="AQ117" s="142"/>
      <c r="AR117" s="142"/>
      <c r="AS117" s="142"/>
      <c r="AT117" s="142"/>
      <c r="AU117" s="142"/>
      <c r="AV117" s="132"/>
      <c r="AW117" s="133"/>
      <c r="AX117" s="133"/>
      <c r="AY117" s="133"/>
      <c r="AZ117" s="133"/>
      <c r="BA117" s="133"/>
      <c r="BB117" s="133"/>
      <c r="BC117" s="133"/>
      <c r="BD117" s="133"/>
      <c r="BE117" s="133"/>
      <c r="BF117" s="133"/>
      <c r="BG117" s="133"/>
      <c r="BH117" s="133"/>
      <c r="BI117" s="133"/>
      <c r="BJ117" s="133"/>
      <c r="BK117" s="133"/>
      <c r="BL117" s="133"/>
      <c r="BM117" s="133"/>
      <c r="BN117" s="133"/>
      <c r="BO117" s="133"/>
      <c r="BP117" s="133"/>
      <c r="BQ117" s="133"/>
      <c r="BR117" s="133"/>
      <c r="BS117" s="133"/>
      <c r="BT117" s="133"/>
      <c r="BU117" s="133"/>
      <c r="BV117" s="133"/>
      <c r="BW117" s="133"/>
      <c r="BX117" s="133"/>
    </row>
    <row r="118" spans="1:253" ht="12.75">
      <c r="A118" s="143" t="s">
        <v>73</v>
      </c>
      <c r="B118" s="144"/>
      <c r="C118" s="143"/>
      <c r="D118" s="144"/>
      <c r="E118" s="144"/>
      <c r="F118" s="143" t="s">
        <v>449</v>
      </c>
      <c r="G118" s="144"/>
      <c r="H118" s="144"/>
      <c r="I118" s="144"/>
      <c r="J118" s="144"/>
      <c r="K118" s="144"/>
      <c r="L118" s="143" t="s">
        <v>842</v>
      </c>
      <c r="M118" s="144"/>
      <c r="N118" s="144"/>
      <c r="O118" s="144"/>
      <c r="P118" s="144"/>
      <c r="Q118" s="144"/>
      <c r="R118" s="144"/>
      <c r="S118" s="144"/>
      <c r="T118" s="144"/>
      <c r="U118" s="144"/>
      <c r="V118" s="144"/>
      <c r="W118" s="144"/>
      <c r="X118" s="144"/>
      <c r="Y118" s="144"/>
      <c r="Z118" s="144"/>
      <c r="AA118" s="144"/>
      <c r="AB118" s="144"/>
      <c r="AC118" s="144"/>
      <c r="AD118" s="144"/>
      <c r="AE118" s="144"/>
      <c r="AF118" s="144"/>
      <c r="AG118" s="144"/>
      <c r="AH118" s="144"/>
      <c r="AI118" s="144"/>
      <c r="AJ118" s="144"/>
      <c r="AK118" s="144"/>
      <c r="AL118" s="144"/>
      <c r="AM118" s="144"/>
      <c r="AN118" s="144"/>
      <c r="AO118" s="144"/>
      <c r="AP118" s="144"/>
      <c r="AQ118" s="144"/>
      <c r="AR118" s="144"/>
      <c r="AS118" s="144"/>
      <c r="AT118" s="144"/>
      <c r="AU118" s="144"/>
      <c r="AV118" s="143" t="s">
        <v>1151</v>
      </c>
      <c r="AW118" s="144"/>
      <c r="AX118" s="145">
        <f>'Stavební rozpočet'!F119</f>
        <v>155.46096</v>
      </c>
      <c r="AY118" s="146"/>
      <c r="AZ118" s="146"/>
      <c r="BA118" s="146"/>
      <c r="BB118" s="146"/>
      <c r="BC118" s="145">
        <f>'Stavební rozpočet'!G119</f>
        <v>0</v>
      </c>
      <c r="BD118" s="146"/>
      <c r="BE118" s="146"/>
      <c r="BF118" s="146"/>
      <c r="BG118" s="146"/>
      <c r="BH118" s="146"/>
      <c r="BI118" s="146"/>
      <c r="BJ118" s="146"/>
      <c r="BK118" s="145">
        <f>IR118*AX118+IS118*AX118</f>
        <v>0</v>
      </c>
      <c r="BL118" s="146"/>
      <c r="BM118" s="146"/>
      <c r="BN118" s="146"/>
      <c r="BO118" s="146"/>
      <c r="BP118" s="146"/>
      <c r="BQ118" s="146"/>
      <c r="BR118" s="146"/>
      <c r="BS118" s="143" t="s">
        <v>1177</v>
      </c>
      <c r="BT118" s="144"/>
      <c r="BU118" s="144"/>
      <c r="BV118" s="144"/>
      <c r="BW118" s="144"/>
      <c r="BX118" s="144"/>
      <c r="IR118" s="47">
        <f>BC118*1</f>
        <v>0</v>
      </c>
      <c r="IS118" s="47">
        <f>BC118*(1-1)</f>
        <v>0</v>
      </c>
    </row>
    <row r="119" spans="1:253" ht="12.75">
      <c r="A119" s="132" t="s">
        <v>74</v>
      </c>
      <c r="B119" s="133"/>
      <c r="C119" s="132"/>
      <c r="D119" s="133"/>
      <c r="E119" s="133"/>
      <c r="F119" s="132" t="s">
        <v>450</v>
      </c>
      <c r="G119" s="133"/>
      <c r="H119" s="133"/>
      <c r="I119" s="133"/>
      <c r="J119" s="133"/>
      <c r="K119" s="133"/>
      <c r="L119" s="132" t="s">
        <v>843</v>
      </c>
      <c r="M119" s="133"/>
      <c r="N119" s="133"/>
      <c r="O119" s="133"/>
      <c r="P119" s="133"/>
      <c r="Q119" s="133"/>
      <c r="R119" s="133"/>
      <c r="S119" s="133"/>
      <c r="T119" s="133"/>
      <c r="U119" s="133"/>
      <c r="V119" s="133"/>
      <c r="W119" s="133"/>
      <c r="X119" s="133"/>
      <c r="Y119" s="133"/>
      <c r="Z119" s="133"/>
      <c r="AA119" s="133"/>
      <c r="AB119" s="133"/>
      <c r="AC119" s="133"/>
      <c r="AD119" s="133"/>
      <c r="AE119" s="133"/>
      <c r="AF119" s="133"/>
      <c r="AG119" s="133"/>
      <c r="AH119" s="133"/>
      <c r="AI119" s="133"/>
      <c r="AJ119" s="133"/>
      <c r="AK119" s="133"/>
      <c r="AL119" s="133"/>
      <c r="AM119" s="133"/>
      <c r="AN119" s="133"/>
      <c r="AO119" s="133"/>
      <c r="AP119" s="133"/>
      <c r="AQ119" s="133"/>
      <c r="AR119" s="133"/>
      <c r="AS119" s="133"/>
      <c r="AT119" s="133"/>
      <c r="AU119" s="133"/>
      <c r="AV119" s="132" t="s">
        <v>1151</v>
      </c>
      <c r="AW119" s="133"/>
      <c r="AX119" s="134">
        <f>'Stavební rozpočet'!F120</f>
        <v>129.5508</v>
      </c>
      <c r="AY119" s="135"/>
      <c r="AZ119" s="135"/>
      <c r="BA119" s="135"/>
      <c r="BB119" s="135"/>
      <c r="BC119" s="134">
        <f>'Stavební rozpočet'!G120</f>
        <v>0</v>
      </c>
      <c r="BD119" s="135"/>
      <c r="BE119" s="135"/>
      <c r="BF119" s="135"/>
      <c r="BG119" s="135"/>
      <c r="BH119" s="135"/>
      <c r="BI119" s="135"/>
      <c r="BJ119" s="135"/>
      <c r="BK119" s="134">
        <f>IR119*AX119+IS119*AX119</f>
        <v>0</v>
      </c>
      <c r="BL119" s="135"/>
      <c r="BM119" s="135"/>
      <c r="BN119" s="135"/>
      <c r="BO119" s="135"/>
      <c r="BP119" s="135"/>
      <c r="BQ119" s="135"/>
      <c r="BR119" s="135"/>
      <c r="BS119" s="132" t="s">
        <v>1177</v>
      </c>
      <c r="BT119" s="133"/>
      <c r="BU119" s="133"/>
      <c r="BV119" s="133"/>
      <c r="BW119" s="133"/>
      <c r="BX119" s="133"/>
      <c r="IR119" s="46">
        <f>BC119*0</f>
        <v>0</v>
      </c>
      <c r="IS119" s="46">
        <f>BC119*(1-0)</f>
        <v>0</v>
      </c>
    </row>
    <row r="120" spans="1:76" ht="12.75">
      <c r="A120" s="132"/>
      <c r="B120" s="133"/>
      <c r="C120" s="133"/>
      <c r="D120" s="133"/>
      <c r="E120" s="133"/>
      <c r="F120" s="133"/>
      <c r="G120" s="133"/>
      <c r="H120" s="133"/>
      <c r="I120" s="133"/>
      <c r="J120" s="133"/>
      <c r="K120" s="133"/>
      <c r="L120" s="141" t="s">
        <v>844</v>
      </c>
      <c r="M120" s="142"/>
      <c r="N120" s="142"/>
      <c r="O120" s="142"/>
      <c r="P120" s="142"/>
      <c r="Q120" s="142"/>
      <c r="R120" s="142"/>
      <c r="S120" s="142"/>
      <c r="T120" s="142"/>
      <c r="U120" s="142"/>
      <c r="V120" s="142"/>
      <c r="W120" s="142"/>
      <c r="X120" s="142"/>
      <c r="Y120" s="142"/>
      <c r="Z120" s="142"/>
      <c r="AA120" s="142"/>
      <c r="AB120" s="142"/>
      <c r="AC120" s="142"/>
      <c r="AD120" s="142"/>
      <c r="AE120" s="142"/>
      <c r="AF120" s="142"/>
      <c r="AG120" s="142"/>
      <c r="AH120" s="142"/>
      <c r="AI120" s="142"/>
      <c r="AJ120" s="142"/>
      <c r="AK120" s="142"/>
      <c r="AL120" s="142"/>
      <c r="AM120" s="142"/>
      <c r="AN120" s="142"/>
      <c r="AO120" s="142"/>
      <c r="AP120" s="142"/>
      <c r="AQ120" s="142"/>
      <c r="AR120" s="142"/>
      <c r="AS120" s="142"/>
      <c r="AT120" s="142"/>
      <c r="AU120" s="142"/>
      <c r="AV120" s="132"/>
      <c r="AW120" s="133"/>
      <c r="AX120" s="133"/>
      <c r="AY120" s="133"/>
      <c r="AZ120" s="133"/>
      <c r="BA120" s="133"/>
      <c r="BB120" s="133"/>
      <c r="BC120" s="133"/>
      <c r="BD120" s="133"/>
      <c r="BE120" s="133"/>
      <c r="BF120" s="133"/>
      <c r="BG120" s="133"/>
      <c r="BH120" s="133"/>
      <c r="BI120" s="133"/>
      <c r="BJ120" s="133"/>
      <c r="BK120" s="133"/>
      <c r="BL120" s="133"/>
      <c r="BM120" s="133"/>
      <c r="BN120" s="133"/>
      <c r="BO120" s="133"/>
      <c r="BP120" s="133"/>
      <c r="BQ120" s="133"/>
      <c r="BR120" s="133"/>
      <c r="BS120" s="133"/>
      <c r="BT120" s="133"/>
      <c r="BU120" s="133"/>
      <c r="BV120" s="133"/>
      <c r="BW120" s="133"/>
      <c r="BX120" s="133"/>
    </row>
    <row r="121" spans="1:253" ht="12.75">
      <c r="A121" s="143" t="s">
        <v>75</v>
      </c>
      <c r="B121" s="144"/>
      <c r="C121" s="143"/>
      <c r="D121" s="144"/>
      <c r="E121" s="144"/>
      <c r="F121" s="143" t="s">
        <v>451</v>
      </c>
      <c r="G121" s="144"/>
      <c r="H121" s="144"/>
      <c r="I121" s="144"/>
      <c r="J121" s="144"/>
      <c r="K121" s="144"/>
      <c r="L121" s="143" t="s">
        <v>845</v>
      </c>
      <c r="M121" s="144"/>
      <c r="N121" s="144"/>
      <c r="O121" s="144"/>
      <c r="P121" s="144"/>
      <c r="Q121" s="144"/>
      <c r="R121" s="144"/>
      <c r="S121" s="144"/>
      <c r="T121" s="144"/>
      <c r="U121" s="144"/>
      <c r="V121" s="144"/>
      <c r="W121" s="144"/>
      <c r="X121" s="144"/>
      <c r="Y121" s="144"/>
      <c r="Z121" s="144"/>
      <c r="AA121" s="144"/>
      <c r="AB121" s="144"/>
      <c r="AC121" s="144"/>
      <c r="AD121" s="144"/>
      <c r="AE121" s="144"/>
      <c r="AF121" s="144"/>
      <c r="AG121" s="144"/>
      <c r="AH121" s="144"/>
      <c r="AI121" s="144"/>
      <c r="AJ121" s="144"/>
      <c r="AK121" s="144"/>
      <c r="AL121" s="144"/>
      <c r="AM121" s="144"/>
      <c r="AN121" s="144"/>
      <c r="AO121" s="144"/>
      <c r="AP121" s="144"/>
      <c r="AQ121" s="144"/>
      <c r="AR121" s="144"/>
      <c r="AS121" s="144"/>
      <c r="AT121" s="144"/>
      <c r="AU121" s="144"/>
      <c r="AV121" s="143" t="s">
        <v>1151</v>
      </c>
      <c r="AW121" s="144"/>
      <c r="AX121" s="145">
        <f>'Stavební rozpočet'!F122</f>
        <v>148.98342</v>
      </c>
      <c r="AY121" s="146"/>
      <c r="AZ121" s="146"/>
      <c r="BA121" s="146"/>
      <c r="BB121" s="146"/>
      <c r="BC121" s="145">
        <f>'Stavební rozpočet'!G122</f>
        <v>0</v>
      </c>
      <c r="BD121" s="146"/>
      <c r="BE121" s="146"/>
      <c r="BF121" s="146"/>
      <c r="BG121" s="146"/>
      <c r="BH121" s="146"/>
      <c r="BI121" s="146"/>
      <c r="BJ121" s="146"/>
      <c r="BK121" s="145">
        <f>IR121*AX121+IS121*AX121</f>
        <v>0</v>
      </c>
      <c r="BL121" s="146"/>
      <c r="BM121" s="146"/>
      <c r="BN121" s="146"/>
      <c r="BO121" s="146"/>
      <c r="BP121" s="146"/>
      <c r="BQ121" s="146"/>
      <c r="BR121" s="146"/>
      <c r="BS121" s="143" t="s">
        <v>1177</v>
      </c>
      <c r="BT121" s="144"/>
      <c r="BU121" s="144"/>
      <c r="BV121" s="144"/>
      <c r="BW121" s="144"/>
      <c r="BX121" s="144"/>
      <c r="IR121" s="47">
        <f>BC121*1</f>
        <v>0</v>
      </c>
      <c r="IS121" s="47">
        <f>BC121*(1-1)</f>
        <v>0</v>
      </c>
    </row>
    <row r="122" spans="1:253" ht="12.75">
      <c r="A122" s="132" t="s">
        <v>76</v>
      </c>
      <c r="B122" s="133"/>
      <c r="C122" s="132"/>
      <c r="D122" s="133"/>
      <c r="E122" s="133"/>
      <c r="F122" s="132" t="s">
        <v>452</v>
      </c>
      <c r="G122" s="133"/>
      <c r="H122" s="133"/>
      <c r="I122" s="133"/>
      <c r="J122" s="133"/>
      <c r="K122" s="133"/>
      <c r="L122" s="132" t="s">
        <v>846</v>
      </c>
      <c r="M122" s="133"/>
      <c r="N122" s="133"/>
      <c r="O122" s="133"/>
      <c r="P122" s="133"/>
      <c r="Q122" s="133"/>
      <c r="R122" s="133"/>
      <c r="S122" s="133"/>
      <c r="T122" s="133"/>
      <c r="U122" s="133"/>
      <c r="V122" s="133"/>
      <c r="W122" s="133"/>
      <c r="X122" s="133"/>
      <c r="Y122" s="133"/>
      <c r="Z122" s="133"/>
      <c r="AA122" s="133"/>
      <c r="AB122" s="133"/>
      <c r="AC122" s="133"/>
      <c r="AD122" s="133"/>
      <c r="AE122" s="133"/>
      <c r="AF122" s="133"/>
      <c r="AG122" s="133"/>
      <c r="AH122" s="133"/>
      <c r="AI122" s="133"/>
      <c r="AJ122" s="133"/>
      <c r="AK122" s="133"/>
      <c r="AL122" s="133"/>
      <c r="AM122" s="133"/>
      <c r="AN122" s="133"/>
      <c r="AO122" s="133"/>
      <c r="AP122" s="133"/>
      <c r="AQ122" s="133"/>
      <c r="AR122" s="133"/>
      <c r="AS122" s="133"/>
      <c r="AT122" s="133"/>
      <c r="AU122" s="133"/>
      <c r="AV122" s="132" t="s">
        <v>1152</v>
      </c>
      <c r="AW122" s="133"/>
      <c r="AX122" s="134">
        <f>'Stavební rozpočet'!F123</f>
        <v>0.3893</v>
      </c>
      <c r="AY122" s="135"/>
      <c r="AZ122" s="135"/>
      <c r="BA122" s="135"/>
      <c r="BB122" s="135"/>
      <c r="BC122" s="134">
        <f>'Stavební rozpočet'!G123</f>
        <v>0</v>
      </c>
      <c r="BD122" s="135"/>
      <c r="BE122" s="135"/>
      <c r="BF122" s="135"/>
      <c r="BG122" s="135"/>
      <c r="BH122" s="135"/>
      <c r="BI122" s="135"/>
      <c r="BJ122" s="135"/>
      <c r="BK122" s="134">
        <f>IR122*AX122+IS122*AX122</f>
        <v>0</v>
      </c>
      <c r="BL122" s="135"/>
      <c r="BM122" s="135"/>
      <c r="BN122" s="135"/>
      <c r="BO122" s="135"/>
      <c r="BP122" s="135"/>
      <c r="BQ122" s="135"/>
      <c r="BR122" s="135"/>
      <c r="BS122" s="132" t="s">
        <v>1177</v>
      </c>
      <c r="BT122" s="133"/>
      <c r="BU122" s="133"/>
      <c r="BV122" s="133"/>
      <c r="BW122" s="133"/>
      <c r="BX122" s="133"/>
      <c r="IR122" s="46">
        <f>BC122*0</f>
        <v>0</v>
      </c>
      <c r="IS122" s="46">
        <f>BC122*(1-0)</f>
        <v>0</v>
      </c>
    </row>
    <row r="123" spans="1:76" ht="12.75">
      <c r="A123" s="136" t="s">
        <v>6</v>
      </c>
      <c r="B123" s="137"/>
      <c r="C123" s="136" t="s">
        <v>6</v>
      </c>
      <c r="D123" s="137"/>
      <c r="E123" s="137"/>
      <c r="F123" s="136" t="s">
        <v>453</v>
      </c>
      <c r="G123" s="137"/>
      <c r="H123" s="137"/>
      <c r="I123" s="137"/>
      <c r="J123" s="137"/>
      <c r="K123" s="137"/>
      <c r="L123" s="136" t="s">
        <v>847</v>
      </c>
      <c r="M123" s="137"/>
      <c r="N123" s="137"/>
      <c r="O123" s="137"/>
      <c r="P123" s="137"/>
      <c r="Q123" s="137"/>
      <c r="R123" s="137"/>
      <c r="S123" s="137"/>
      <c r="T123" s="137"/>
      <c r="U123" s="137"/>
      <c r="V123" s="137"/>
      <c r="W123" s="137"/>
      <c r="X123" s="137"/>
      <c r="Y123" s="137"/>
      <c r="Z123" s="137"/>
      <c r="AA123" s="137"/>
      <c r="AB123" s="137"/>
      <c r="AC123" s="137"/>
      <c r="AD123" s="137"/>
      <c r="AE123" s="137"/>
      <c r="AF123" s="137"/>
      <c r="AG123" s="137"/>
      <c r="AH123" s="137"/>
      <c r="AI123" s="137"/>
      <c r="AJ123" s="137"/>
      <c r="AK123" s="137"/>
      <c r="AL123" s="137"/>
      <c r="AM123" s="137"/>
      <c r="AN123" s="137"/>
      <c r="AO123" s="137"/>
      <c r="AP123" s="137"/>
      <c r="AQ123" s="137"/>
      <c r="AR123" s="137"/>
      <c r="AS123" s="137"/>
      <c r="AT123" s="137"/>
      <c r="AU123" s="137"/>
      <c r="AV123" s="136" t="s">
        <v>6</v>
      </c>
      <c r="AW123" s="137"/>
      <c r="AX123" s="138" t="s">
        <v>6</v>
      </c>
      <c r="AY123" s="139"/>
      <c r="AZ123" s="139"/>
      <c r="BA123" s="139"/>
      <c r="BB123" s="139"/>
      <c r="BC123" s="138" t="s">
        <v>6</v>
      </c>
      <c r="BD123" s="139"/>
      <c r="BE123" s="139"/>
      <c r="BF123" s="139"/>
      <c r="BG123" s="139"/>
      <c r="BH123" s="139"/>
      <c r="BI123" s="139"/>
      <c r="BJ123" s="139"/>
      <c r="BK123" s="140">
        <f>SUM(BK124:BK136)</f>
        <v>0</v>
      </c>
      <c r="BL123" s="139"/>
      <c r="BM123" s="139"/>
      <c r="BN123" s="139"/>
      <c r="BO123" s="139"/>
      <c r="BP123" s="139"/>
      <c r="BQ123" s="139"/>
      <c r="BR123" s="139"/>
      <c r="BS123" s="136" t="s">
        <v>6</v>
      </c>
      <c r="BT123" s="137"/>
      <c r="BU123" s="137"/>
      <c r="BV123" s="137"/>
      <c r="BW123" s="137"/>
      <c r="BX123" s="137"/>
    </row>
    <row r="124" spans="1:253" ht="12.75">
      <c r="A124" s="132" t="s">
        <v>77</v>
      </c>
      <c r="B124" s="133"/>
      <c r="C124" s="132"/>
      <c r="D124" s="133"/>
      <c r="E124" s="133"/>
      <c r="F124" s="132" t="s">
        <v>454</v>
      </c>
      <c r="G124" s="133"/>
      <c r="H124" s="133"/>
      <c r="I124" s="133"/>
      <c r="J124" s="133"/>
      <c r="K124" s="133"/>
      <c r="L124" s="132" t="s">
        <v>848</v>
      </c>
      <c r="M124" s="133"/>
      <c r="N124" s="133"/>
      <c r="O124" s="133"/>
      <c r="P124" s="133"/>
      <c r="Q124" s="133"/>
      <c r="R124" s="133"/>
      <c r="S124" s="133"/>
      <c r="T124" s="133"/>
      <c r="U124" s="133"/>
      <c r="V124" s="133"/>
      <c r="W124" s="133"/>
      <c r="X124" s="133"/>
      <c r="Y124" s="133"/>
      <c r="Z124" s="133"/>
      <c r="AA124" s="133"/>
      <c r="AB124" s="133"/>
      <c r="AC124" s="133"/>
      <c r="AD124" s="133"/>
      <c r="AE124" s="133"/>
      <c r="AF124" s="133"/>
      <c r="AG124" s="133"/>
      <c r="AH124" s="133"/>
      <c r="AI124" s="133"/>
      <c r="AJ124" s="133"/>
      <c r="AK124" s="133"/>
      <c r="AL124" s="133"/>
      <c r="AM124" s="133"/>
      <c r="AN124" s="133"/>
      <c r="AO124" s="133"/>
      <c r="AP124" s="133"/>
      <c r="AQ124" s="133"/>
      <c r="AR124" s="133"/>
      <c r="AS124" s="133"/>
      <c r="AT124" s="133"/>
      <c r="AU124" s="133"/>
      <c r="AV124" s="132" t="s">
        <v>1151</v>
      </c>
      <c r="AW124" s="133"/>
      <c r="AX124" s="134">
        <f>'Stavební rozpočet'!F125</f>
        <v>42.834</v>
      </c>
      <c r="AY124" s="135"/>
      <c r="AZ124" s="135"/>
      <c r="BA124" s="135"/>
      <c r="BB124" s="135"/>
      <c r="BC124" s="134">
        <f>'Stavební rozpočet'!G125</f>
        <v>0</v>
      </c>
      <c r="BD124" s="135"/>
      <c r="BE124" s="135"/>
      <c r="BF124" s="135"/>
      <c r="BG124" s="135"/>
      <c r="BH124" s="135"/>
      <c r="BI124" s="135"/>
      <c r="BJ124" s="135"/>
      <c r="BK124" s="134">
        <f>IR124*AX124+IS124*AX124</f>
        <v>0</v>
      </c>
      <c r="BL124" s="135"/>
      <c r="BM124" s="135"/>
      <c r="BN124" s="135"/>
      <c r="BO124" s="135"/>
      <c r="BP124" s="135"/>
      <c r="BQ124" s="135"/>
      <c r="BR124" s="135"/>
      <c r="BS124" s="132" t="s">
        <v>1177</v>
      </c>
      <c r="BT124" s="133"/>
      <c r="BU124" s="133"/>
      <c r="BV124" s="133"/>
      <c r="BW124" s="133"/>
      <c r="BX124" s="133"/>
      <c r="IR124" s="46">
        <f>BC124*0.0893692327139426</f>
        <v>0</v>
      </c>
      <c r="IS124" s="46">
        <f>BC124*(1-0.0893692327139426)</f>
        <v>0</v>
      </c>
    </row>
    <row r="125" spans="1:76" ht="12.75">
      <c r="A125" s="132"/>
      <c r="B125" s="133"/>
      <c r="C125" s="133"/>
      <c r="D125" s="133"/>
      <c r="E125" s="133"/>
      <c r="F125" s="133"/>
      <c r="G125" s="133"/>
      <c r="H125" s="133"/>
      <c r="I125" s="133"/>
      <c r="J125" s="133"/>
      <c r="K125" s="133"/>
      <c r="L125" s="141" t="s">
        <v>849</v>
      </c>
      <c r="M125" s="142"/>
      <c r="N125" s="142"/>
      <c r="O125" s="142"/>
      <c r="P125" s="142"/>
      <c r="Q125" s="142"/>
      <c r="R125" s="142"/>
      <c r="S125" s="142"/>
      <c r="T125" s="142"/>
      <c r="U125" s="142"/>
      <c r="V125" s="142"/>
      <c r="W125" s="142"/>
      <c r="X125" s="142"/>
      <c r="Y125" s="142"/>
      <c r="Z125" s="142"/>
      <c r="AA125" s="142"/>
      <c r="AB125" s="142"/>
      <c r="AC125" s="142"/>
      <c r="AD125" s="142"/>
      <c r="AE125" s="142"/>
      <c r="AF125" s="142"/>
      <c r="AG125" s="142"/>
      <c r="AH125" s="142"/>
      <c r="AI125" s="142"/>
      <c r="AJ125" s="142"/>
      <c r="AK125" s="142"/>
      <c r="AL125" s="142"/>
      <c r="AM125" s="142"/>
      <c r="AN125" s="142"/>
      <c r="AO125" s="142"/>
      <c r="AP125" s="142"/>
      <c r="AQ125" s="142"/>
      <c r="AR125" s="142"/>
      <c r="AS125" s="142"/>
      <c r="AT125" s="142"/>
      <c r="AU125" s="142"/>
      <c r="AV125" s="132"/>
      <c r="AW125" s="133"/>
      <c r="AX125" s="133"/>
      <c r="AY125" s="133"/>
      <c r="AZ125" s="133"/>
      <c r="BA125" s="133"/>
      <c r="BB125" s="133"/>
      <c r="BC125" s="133"/>
      <c r="BD125" s="133"/>
      <c r="BE125" s="133"/>
      <c r="BF125" s="133"/>
      <c r="BG125" s="133"/>
      <c r="BH125" s="133"/>
      <c r="BI125" s="133"/>
      <c r="BJ125" s="133"/>
      <c r="BK125" s="133"/>
      <c r="BL125" s="133"/>
      <c r="BM125" s="133"/>
      <c r="BN125" s="133"/>
      <c r="BO125" s="133"/>
      <c r="BP125" s="133"/>
      <c r="BQ125" s="133"/>
      <c r="BR125" s="133"/>
      <c r="BS125" s="133"/>
      <c r="BT125" s="133"/>
      <c r="BU125" s="133"/>
      <c r="BV125" s="133"/>
      <c r="BW125" s="133"/>
      <c r="BX125" s="133"/>
    </row>
    <row r="126" spans="1:253" ht="12.75">
      <c r="A126" s="143" t="s">
        <v>78</v>
      </c>
      <c r="B126" s="144"/>
      <c r="C126" s="143"/>
      <c r="D126" s="144"/>
      <c r="E126" s="144"/>
      <c r="F126" s="143" t="s">
        <v>455</v>
      </c>
      <c r="G126" s="144"/>
      <c r="H126" s="144"/>
      <c r="I126" s="144"/>
      <c r="J126" s="144"/>
      <c r="K126" s="144"/>
      <c r="L126" s="143" t="s">
        <v>850</v>
      </c>
      <c r="M126" s="144"/>
      <c r="N126" s="144"/>
      <c r="O126" s="144"/>
      <c r="P126" s="144"/>
      <c r="Q126" s="144"/>
      <c r="R126" s="144"/>
      <c r="S126" s="144"/>
      <c r="T126" s="144"/>
      <c r="U126" s="144"/>
      <c r="V126" s="144"/>
      <c r="W126" s="144"/>
      <c r="X126" s="144"/>
      <c r="Y126" s="144"/>
      <c r="Z126" s="144"/>
      <c r="AA126" s="144"/>
      <c r="AB126" s="144"/>
      <c r="AC126" s="144"/>
      <c r="AD126" s="144"/>
      <c r="AE126" s="144"/>
      <c r="AF126" s="144"/>
      <c r="AG126" s="144"/>
      <c r="AH126" s="144"/>
      <c r="AI126" s="144"/>
      <c r="AJ126" s="144"/>
      <c r="AK126" s="144"/>
      <c r="AL126" s="144"/>
      <c r="AM126" s="144"/>
      <c r="AN126" s="144"/>
      <c r="AO126" s="144"/>
      <c r="AP126" s="144"/>
      <c r="AQ126" s="144"/>
      <c r="AR126" s="144"/>
      <c r="AS126" s="144"/>
      <c r="AT126" s="144"/>
      <c r="AU126" s="144"/>
      <c r="AV126" s="143" t="s">
        <v>1151</v>
      </c>
      <c r="AW126" s="144"/>
      <c r="AX126" s="145">
        <f>'Stavební rozpočet'!F127</f>
        <v>49.2591</v>
      </c>
      <c r="AY126" s="146"/>
      <c r="AZ126" s="146"/>
      <c r="BA126" s="146"/>
      <c r="BB126" s="146"/>
      <c r="BC126" s="145">
        <f>'Stavební rozpočet'!G127</f>
        <v>0</v>
      </c>
      <c r="BD126" s="146"/>
      <c r="BE126" s="146"/>
      <c r="BF126" s="146"/>
      <c r="BG126" s="146"/>
      <c r="BH126" s="146"/>
      <c r="BI126" s="146"/>
      <c r="BJ126" s="146"/>
      <c r="BK126" s="145">
        <f>IR126*AX126+IS126*AX126</f>
        <v>0</v>
      </c>
      <c r="BL126" s="146"/>
      <c r="BM126" s="146"/>
      <c r="BN126" s="146"/>
      <c r="BO126" s="146"/>
      <c r="BP126" s="146"/>
      <c r="BQ126" s="146"/>
      <c r="BR126" s="146"/>
      <c r="BS126" s="143" t="s">
        <v>1177</v>
      </c>
      <c r="BT126" s="144"/>
      <c r="BU126" s="144"/>
      <c r="BV126" s="144"/>
      <c r="BW126" s="144"/>
      <c r="BX126" s="144"/>
      <c r="IR126" s="47">
        <f>BC126*1</f>
        <v>0</v>
      </c>
      <c r="IS126" s="47">
        <f>BC126*(1-1)</f>
        <v>0</v>
      </c>
    </row>
    <row r="127" spans="1:253" ht="12.75">
      <c r="A127" s="132" t="s">
        <v>79</v>
      </c>
      <c r="B127" s="133"/>
      <c r="C127" s="132"/>
      <c r="D127" s="133"/>
      <c r="E127" s="133"/>
      <c r="F127" s="132" t="s">
        <v>456</v>
      </c>
      <c r="G127" s="133"/>
      <c r="H127" s="133"/>
      <c r="I127" s="133"/>
      <c r="J127" s="133"/>
      <c r="K127" s="133"/>
      <c r="L127" s="132" t="s">
        <v>851</v>
      </c>
      <c r="M127" s="133"/>
      <c r="N127" s="133"/>
      <c r="O127" s="133"/>
      <c r="P127" s="133"/>
      <c r="Q127" s="133"/>
      <c r="R127" s="133"/>
      <c r="S127" s="133"/>
      <c r="T127" s="133"/>
      <c r="U127" s="133"/>
      <c r="V127" s="133"/>
      <c r="W127" s="133"/>
      <c r="X127" s="133"/>
      <c r="Y127" s="133"/>
      <c r="Z127" s="133"/>
      <c r="AA127" s="133"/>
      <c r="AB127" s="133"/>
      <c r="AC127" s="133"/>
      <c r="AD127" s="133"/>
      <c r="AE127" s="133"/>
      <c r="AF127" s="133"/>
      <c r="AG127" s="133"/>
      <c r="AH127" s="133"/>
      <c r="AI127" s="133"/>
      <c r="AJ127" s="133"/>
      <c r="AK127" s="133"/>
      <c r="AL127" s="133"/>
      <c r="AM127" s="133"/>
      <c r="AN127" s="133"/>
      <c r="AO127" s="133"/>
      <c r="AP127" s="133"/>
      <c r="AQ127" s="133"/>
      <c r="AR127" s="133"/>
      <c r="AS127" s="133"/>
      <c r="AT127" s="133"/>
      <c r="AU127" s="133"/>
      <c r="AV127" s="132" t="s">
        <v>1151</v>
      </c>
      <c r="AW127" s="133"/>
      <c r="AX127" s="134">
        <f>'Stavební rozpočet'!F128</f>
        <v>40.91</v>
      </c>
      <c r="AY127" s="135"/>
      <c r="AZ127" s="135"/>
      <c r="BA127" s="135"/>
      <c r="BB127" s="135"/>
      <c r="BC127" s="134">
        <f>'Stavební rozpočet'!G128</f>
        <v>0</v>
      </c>
      <c r="BD127" s="135"/>
      <c r="BE127" s="135"/>
      <c r="BF127" s="135"/>
      <c r="BG127" s="135"/>
      <c r="BH127" s="135"/>
      <c r="BI127" s="135"/>
      <c r="BJ127" s="135"/>
      <c r="BK127" s="134">
        <f>IR127*AX127+IS127*AX127</f>
        <v>0</v>
      </c>
      <c r="BL127" s="135"/>
      <c r="BM127" s="135"/>
      <c r="BN127" s="135"/>
      <c r="BO127" s="135"/>
      <c r="BP127" s="135"/>
      <c r="BQ127" s="135"/>
      <c r="BR127" s="135"/>
      <c r="BS127" s="132" t="s">
        <v>1177</v>
      </c>
      <c r="BT127" s="133"/>
      <c r="BU127" s="133"/>
      <c r="BV127" s="133"/>
      <c r="BW127" s="133"/>
      <c r="BX127" s="133"/>
      <c r="IR127" s="46">
        <f>BC127*0</f>
        <v>0</v>
      </c>
      <c r="IS127" s="46">
        <f>BC127*(1-0)</f>
        <v>0</v>
      </c>
    </row>
    <row r="128" spans="1:76" ht="12.75">
      <c r="A128" s="132"/>
      <c r="B128" s="133"/>
      <c r="C128" s="133"/>
      <c r="D128" s="133"/>
      <c r="E128" s="133"/>
      <c r="F128" s="133"/>
      <c r="G128" s="133"/>
      <c r="H128" s="133"/>
      <c r="I128" s="133"/>
      <c r="J128" s="133"/>
      <c r="K128" s="133"/>
      <c r="L128" s="141" t="s">
        <v>852</v>
      </c>
      <c r="M128" s="142"/>
      <c r="N128" s="142"/>
      <c r="O128" s="142"/>
      <c r="P128" s="142"/>
      <c r="Q128" s="142"/>
      <c r="R128" s="142"/>
      <c r="S128" s="142"/>
      <c r="T128" s="142"/>
      <c r="U128" s="142"/>
      <c r="V128" s="142"/>
      <c r="W128" s="142"/>
      <c r="X128" s="142"/>
      <c r="Y128" s="142"/>
      <c r="Z128" s="142"/>
      <c r="AA128" s="142"/>
      <c r="AB128" s="142"/>
      <c r="AC128" s="142"/>
      <c r="AD128" s="142"/>
      <c r="AE128" s="142"/>
      <c r="AF128" s="142"/>
      <c r="AG128" s="142"/>
      <c r="AH128" s="142"/>
      <c r="AI128" s="142"/>
      <c r="AJ128" s="142"/>
      <c r="AK128" s="142"/>
      <c r="AL128" s="142"/>
      <c r="AM128" s="142"/>
      <c r="AN128" s="142"/>
      <c r="AO128" s="142"/>
      <c r="AP128" s="142"/>
      <c r="AQ128" s="142"/>
      <c r="AR128" s="142"/>
      <c r="AS128" s="142"/>
      <c r="AT128" s="142"/>
      <c r="AU128" s="142"/>
      <c r="AV128" s="132"/>
      <c r="AW128" s="133"/>
      <c r="AX128" s="133"/>
      <c r="AY128" s="133"/>
      <c r="AZ128" s="133"/>
      <c r="BA128" s="133"/>
      <c r="BB128" s="133"/>
      <c r="BC128" s="133"/>
      <c r="BD128" s="133"/>
      <c r="BE128" s="133"/>
      <c r="BF128" s="133"/>
      <c r="BG128" s="133"/>
      <c r="BH128" s="133"/>
      <c r="BI128" s="133"/>
      <c r="BJ128" s="133"/>
      <c r="BK128" s="133"/>
      <c r="BL128" s="133"/>
      <c r="BM128" s="133"/>
      <c r="BN128" s="133"/>
      <c r="BO128" s="133"/>
      <c r="BP128" s="133"/>
      <c r="BQ128" s="133"/>
      <c r="BR128" s="133"/>
      <c r="BS128" s="133"/>
      <c r="BT128" s="133"/>
      <c r="BU128" s="133"/>
      <c r="BV128" s="133"/>
      <c r="BW128" s="133"/>
      <c r="BX128" s="133"/>
    </row>
    <row r="129" spans="1:253" ht="12.75">
      <c r="A129" s="143" t="s">
        <v>80</v>
      </c>
      <c r="B129" s="144"/>
      <c r="C129" s="143"/>
      <c r="D129" s="144"/>
      <c r="E129" s="144"/>
      <c r="F129" s="143" t="s">
        <v>457</v>
      </c>
      <c r="G129" s="144"/>
      <c r="H129" s="144"/>
      <c r="I129" s="144"/>
      <c r="J129" s="144"/>
      <c r="K129" s="144"/>
      <c r="L129" s="143" t="s">
        <v>853</v>
      </c>
      <c r="M129" s="144"/>
      <c r="N129" s="144"/>
      <c r="O129" s="144"/>
      <c r="P129" s="144"/>
      <c r="Q129" s="144"/>
      <c r="R129" s="144"/>
      <c r="S129" s="144"/>
      <c r="T129" s="144"/>
      <c r="U129" s="144"/>
      <c r="V129" s="144"/>
      <c r="W129" s="144"/>
      <c r="X129" s="144"/>
      <c r="Y129" s="144"/>
      <c r="Z129" s="144"/>
      <c r="AA129" s="144"/>
      <c r="AB129" s="144"/>
      <c r="AC129" s="144"/>
      <c r="AD129" s="144"/>
      <c r="AE129" s="144"/>
      <c r="AF129" s="144"/>
      <c r="AG129" s="144"/>
      <c r="AH129" s="144"/>
      <c r="AI129" s="144"/>
      <c r="AJ129" s="144"/>
      <c r="AK129" s="144"/>
      <c r="AL129" s="144"/>
      <c r="AM129" s="144"/>
      <c r="AN129" s="144"/>
      <c r="AO129" s="144"/>
      <c r="AP129" s="144"/>
      <c r="AQ129" s="144"/>
      <c r="AR129" s="144"/>
      <c r="AS129" s="144"/>
      <c r="AT129" s="144"/>
      <c r="AU129" s="144"/>
      <c r="AV129" s="143" t="s">
        <v>1151</v>
      </c>
      <c r="AW129" s="144"/>
      <c r="AX129" s="145">
        <f>'Stavební rozpočet'!F130</f>
        <v>42.9555</v>
      </c>
      <c r="AY129" s="146"/>
      <c r="AZ129" s="146"/>
      <c r="BA129" s="146"/>
      <c r="BB129" s="146"/>
      <c r="BC129" s="145">
        <f>'Stavební rozpočet'!G130</f>
        <v>0</v>
      </c>
      <c r="BD129" s="146"/>
      <c r="BE129" s="146"/>
      <c r="BF129" s="146"/>
      <c r="BG129" s="146"/>
      <c r="BH129" s="146"/>
      <c r="BI129" s="146"/>
      <c r="BJ129" s="146"/>
      <c r="BK129" s="145">
        <f>IR129*AX129+IS129*AX129</f>
        <v>0</v>
      </c>
      <c r="BL129" s="146"/>
      <c r="BM129" s="146"/>
      <c r="BN129" s="146"/>
      <c r="BO129" s="146"/>
      <c r="BP129" s="146"/>
      <c r="BQ129" s="146"/>
      <c r="BR129" s="146"/>
      <c r="BS129" s="143" t="s">
        <v>1177</v>
      </c>
      <c r="BT129" s="144"/>
      <c r="BU129" s="144"/>
      <c r="BV129" s="144"/>
      <c r="BW129" s="144"/>
      <c r="BX129" s="144"/>
      <c r="IR129" s="47">
        <f>BC129*1</f>
        <v>0</v>
      </c>
      <c r="IS129" s="47">
        <f>BC129*(1-1)</f>
        <v>0</v>
      </c>
    </row>
    <row r="130" spans="1:253" ht="12.75">
      <c r="A130" s="132" t="s">
        <v>81</v>
      </c>
      <c r="B130" s="133"/>
      <c r="C130" s="132"/>
      <c r="D130" s="133"/>
      <c r="E130" s="133"/>
      <c r="F130" s="132" t="s">
        <v>458</v>
      </c>
      <c r="G130" s="133"/>
      <c r="H130" s="133"/>
      <c r="I130" s="133"/>
      <c r="J130" s="133"/>
      <c r="K130" s="133"/>
      <c r="L130" s="132" t="s">
        <v>854</v>
      </c>
      <c r="M130" s="133"/>
      <c r="N130" s="133"/>
      <c r="O130" s="133"/>
      <c r="P130" s="133"/>
      <c r="Q130" s="133"/>
      <c r="R130" s="133"/>
      <c r="S130" s="133"/>
      <c r="T130" s="133"/>
      <c r="U130" s="133"/>
      <c r="V130" s="133"/>
      <c r="W130" s="133"/>
      <c r="X130" s="133"/>
      <c r="Y130" s="133"/>
      <c r="Z130" s="133"/>
      <c r="AA130" s="133"/>
      <c r="AB130" s="133"/>
      <c r="AC130" s="133"/>
      <c r="AD130" s="133"/>
      <c r="AE130" s="133"/>
      <c r="AF130" s="133"/>
      <c r="AG130" s="133"/>
      <c r="AH130" s="133"/>
      <c r="AI130" s="133"/>
      <c r="AJ130" s="133"/>
      <c r="AK130" s="133"/>
      <c r="AL130" s="133"/>
      <c r="AM130" s="133"/>
      <c r="AN130" s="133"/>
      <c r="AO130" s="133"/>
      <c r="AP130" s="133"/>
      <c r="AQ130" s="133"/>
      <c r="AR130" s="133"/>
      <c r="AS130" s="133"/>
      <c r="AT130" s="133"/>
      <c r="AU130" s="133"/>
      <c r="AV130" s="132" t="s">
        <v>1151</v>
      </c>
      <c r="AW130" s="133"/>
      <c r="AX130" s="134">
        <f>'Stavební rozpočet'!F131</f>
        <v>42.834</v>
      </c>
      <c r="AY130" s="135"/>
      <c r="AZ130" s="135"/>
      <c r="BA130" s="135"/>
      <c r="BB130" s="135"/>
      <c r="BC130" s="134">
        <f>'Stavební rozpočet'!G131</f>
        <v>0</v>
      </c>
      <c r="BD130" s="135"/>
      <c r="BE130" s="135"/>
      <c r="BF130" s="135"/>
      <c r="BG130" s="135"/>
      <c r="BH130" s="135"/>
      <c r="BI130" s="135"/>
      <c r="BJ130" s="135"/>
      <c r="BK130" s="134">
        <f>IR130*AX130+IS130*AX130</f>
        <v>0</v>
      </c>
      <c r="BL130" s="135"/>
      <c r="BM130" s="135"/>
      <c r="BN130" s="135"/>
      <c r="BO130" s="135"/>
      <c r="BP130" s="135"/>
      <c r="BQ130" s="135"/>
      <c r="BR130" s="135"/>
      <c r="BS130" s="132" t="s">
        <v>1177</v>
      </c>
      <c r="BT130" s="133"/>
      <c r="BU130" s="133"/>
      <c r="BV130" s="133"/>
      <c r="BW130" s="133"/>
      <c r="BX130" s="133"/>
      <c r="IR130" s="46">
        <f>BC130*0</f>
        <v>0</v>
      </c>
      <c r="IS130" s="46">
        <f>BC130*(1-0)</f>
        <v>0</v>
      </c>
    </row>
    <row r="131" spans="1:76" ht="12.75">
      <c r="A131" s="132"/>
      <c r="B131" s="133"/>
      <c r="C131" s="133"/>
      <c r="D131" s="133"/>
      <c r="E131" s="133"/>
      <c r="F131" s="133"/>
      <c r="G131" s="133"/>
      <c r="H131" s="133"/>
      <c r="I131" s="133"/>
      <c r="J131" s="133"/>
      <c r="K131" s="133"/>
      <c r="L131" s="141" t="s">
        <v>855</v>
      </c>
      <c r="M131" s="142"/>
      <c r="N131" s="142"/>
      <c r="O131" s="142"/>
      <c r="P131" s="142"/>
      <c r="Q131" s="142"/>
      <c r="R131" s="142"/>
      <c r="S131" s="142"/>
      <c r="T131" s="142"/>
      <c r="U131" s="142"/>
      <c r="V131" s="142"/>
      <c r="W131" s="142"/>
      <c r="X131" s="142"/>
      <c r="Y131" s="142"/>
      <c r="Z131" s="142"/>
      <c r="AA131" s="142"/>
      <c r="AB131" s="142"/>
      <c r="AC131" s="142"/>
      <c r="AD131" s="142"/>
      <c r="AE131" s="142"/>
      <c r="AF131" s="142"/>
      <c r="AG131" s="142"/>
      <c r="AH131" s="142"/>
      <c r="AI131" s="142"/>
      <c r="AJ131" s="142"/>
      <c r="AK131" s="142"/>
      <c r="AL131" s="142"/>
      <c r="AM131" s="142"/>
      <c r="AN131" s="142"/>
      <c r="AO131" s="142"/>
      <c r="AP131" s="142"/>
      <c r="AQ131" s="142"/>
      <c r="AR131" s="142"/>
      <c r="AS131" s="142"/>
      <c r="AT131" s="142"/>
      <c r="AU131" s="142"/>
      <c r="AV131" s="132"/>
      <c r="AW131" s="133"/>
      <c r="AX131" s="133"/>
      <c r="AY131" s="133"/>
      <c r="AZ131" s="133"/>
      <c r="BA131" s="133"/>
      <c r="BB131" s="133"/>
      <c r="BC131" s="133"/>
      <c r="BD131" s="133"/>
      <c r="BE131" s="133"/>
      <c r="BF131" s="133"/>
      <c r="BG131" s="133"/>
      <c r="BH131" s="133"/>
      <c r="BI131" s="133"/>
      <c r="BJ131" s="133"/>
      <c r="BK131" s="133"/>
      <c r="BL131" s="133"/>
      <c r="BM131" s="133"/>
      <c r="BN131" s="133"/>
      <c r="BO131" s="133"/>
      <c r="BP131" s="133"/>
      <c r="BQ131" s="133"/>
      <c r="BR131" s="133"/>
      <c r="BS131" s="133"/>
      <c r="BT131" s="133"/>
      <c r="BU131" s="133"/>
      <c r="BV131" s="133"/>
      <c r="BW131" s="133"/>
      <c r="BX131" s="133"/>
    </row>
    <row r="132" spans="1:253" ht="12.75">
      <c r="A132" s="143" t="s">
        <v>82</v>
      </c>
      <c r="B132" s="144"/>
      <c r="C132" s="143"/>
      <c r="D132" s="144"/>
      <c r="E132" s="144"/>
      <c r="F132" s="143" t="s">
        <v>459</v>
      </c>
      <c r="G132" s="144"/>
      <c r="H132" s="144"/>
      <c r="I132" s="144"/>
      <c r="J132" s="144"/>
      <c r="K132" s="144"/>
      <c r="L132" s="143" t="s">
        <v>856</v>
      </c>
      <c r="M132" s="144"/>
      <c r="N132" s="144"/>
      <c r="O132" s="144"/>
      <c r="P132" s="144"/>
      <c r="Q132" s="144"/>
      <c r="R132" s="144"/>
      <c r="S132" s="144"/>
      <c r="T132" s="144"/>
      <c r="U132" s="144"/>
      <c r="V132" s="144"/>
      <c r="W132" s="144"/>
      <c r="X132" s="144"/>
      <c r="Y132" s="144"/>
      <c r="Z132" s="144"/>
      <c r="AA132" s="144"/>
      <c r="AB132" s="144"/>
      <c r="AC132" s="144"/>
      <c r="AD132" s="144"/>
      <c r="AE132" s="144"/>
      <c r="AF132" s="144"/>
      <c r="AG132" s="144"/>
      <c r="AH132" s="144"/>
      <c r="AI132" s="144"/>
      <c r="AJ132" s="144"/>
      <c r="AK132" s="144"/>
      <c r="AL132" s="144"/>
      <c r="AM132" s="144"/>
      <c r="AN132" s="144"/>
      <c r="AO132" s="144"/>
      <c r="AP132" s="144"/>
      <c r="AQ132" s="144"/>
      <c r="AR132" s="144"/>
      <c r="AS132" s="144"/>
      <c r="AT132" s="144"/>
      <c r="AU132" s="144"/>
      <c r="AV132" s="143" t="s">
        <v>1151</v>
      </c>
      <c r="AW132" s="144"/>
      <c r="AX132" s="145">
        <f>'Stavební rozpočet'!F133</f>
        <v>49.2591</v>
      </c>
      <c r="AY132" s="146"/>
      <c r="AZ132" s="146"/>
      <c r="BA132" s="146"/>
      <c r="BB132" s="146"/>
      <c r="BC132" s="145">
        <f>'Stavební rozpočet'!G133</f>
        <v>0</v>
      </c>
      <c r="BD132" s="146"/>
      <c r="BE132" s="146"/>
      <c r="BF132" s="146"/>
      <c r="BG132" s="146"/>
      <c r="BH132" s="146"/>
      <c r="BI132" s="146"/>
      <c r="BJ132" s="146"/>
      <c r="BK132" s="145">
        <f>IR132*AX132+IS132*AX132</f>
        <v>0</v>
      </c>
      <c r="BL132" s="146"/>
      <c r="BM132" s="146"/>
      <c r="BN132" s="146"/>
      <c r="BO132" s="146"/>
      <c r="BP132" s="146"/>
      <c r="BQ132" s="146"/>
      <c r="BR132" s="146"/>
      <c r="BS132" s="143" t="s">
        <v>1177</v>
      </c>
      <c r="BT132" s="144"/>
      <c r="BU132" s="144"/>
      <c r="BV132" s="144"/>
      <c r="BW132" s="144"/>
      <c r="BX132" s="144"/>
      <c r="IR132" s="47">
        <f>BC132*1</f>
        <v>0</v>
      </c>
      <c r="IS132" s="47">
        <f>BC132*(1-1)</f>
        <v>0</v>
      </c>
    </row>
    <row r="133" spans="1:253" ht="12.75">
      <c r="A133" s="132" t="s">
        <v>83</v>
      </c>
      <c r="B133" s="133"/>
      <c r="C133" s="132"/>
      <c r="D133" s="133"/>
      <c r="E133" s="133"/>
      <c r="F133" s="132" t="s">
        <v>460</v>
      </c>
      <c r="G133" s="133"/>
      <c r="H133" s="133"/>
      <c r="I133" s="133"/>
      <c r="J133" s="133"/>
      <c r="K133" s="133"/>
      <c r="L133" s="132" t="s">
        <v>857</v>
      </c>
      <c r="M133" s="133"/>
      <c r="N133" s="133"/>
      <c r="O133" s="133"/>
      <c r="P133" s="133"/>
      <c r="Q133" s="133"/>
      <c r="R133" s="133"/>
      <c r="S133" s="133"/>
      <c r="T133" s="133"/>
      <c r="U133" s="133"/>
      <c r="V133" s="133"/>
      <c r="W133" s="133"/>
      <c r="X133" s="133"/>
      <c r="Y133" s="133"/>
      <c r="Z133" s="133"/>
      <c r="AA133" s="133"/>
      <c r="AB133" s="133"/>
      <c r="AC133" s="133"/>
      <c r="AD133" s="133"/>
      <c r="AE133" s="133"/>
      <c r="AF133" s="133"/>
      <c r="AG133" s="133"/>
      <c r="AH133" s="133"/>
      <c r="AI133" s="133"/>
      <c r="AJ133" s="133"/>
      <c r="AK133" s="133"/>
      <c r="AL133" s="133"/>
      <c r="AM133" s="133"/>
      <c r="AN133" s="133"/>
      <c r="AO133" s="133"/>
      <c r="AP133" s="133"/>
      <c r="AQ133" s="133"/>
      <c r="AR133" s="133"/>
      <c r="AS133" s="133"/>
      <c r="AT133" s="133"/>
      <c r="AU133" s="133"/>
      <c r="AV133" s="132" t="s">
        <v>1151</v>
      </c>
      <c r="AW133" s="133"/>
      <c r="AX133" s="134">
        <f>'Stavební rozpočet'!F134</f>
        <v>42.834</v>
      </c>
      <c r="AY133" s="135"/>
      <c r="AZ133" s="135"/>
      <c r="BA133" s="135"/>
      <c r="BB133" s="135"/>
      <c r="BC133" s="134">
        <f>'Stavební rozpočet'!G134</f>
        <v>0</v>
      </c>
      <c r="BD133" s="135"/>
      <c r="BE133" s="135"/>
      <c r="BF133" s="135"/>
      <c r="BG133" s="135"/>
      <c r="BH133" s="135"/>
      <c r="BI133" s="135"/>
      <c r="BJ133" s="135"/>
      <c r="BK133" s="134">
        <f>IR133*AX133+IS133*AX133</f>
        <v>0</v>
      </c>
      <c r="BL133" s="135"/>
      <c r="BM133" s="135"/>
      <c r="BN133" s="135"/>
      <c r="BO133" s="135"/>
      <c r="BP133" s="135"/>
      <c r="BQ133" s="135"/>
      <c r="BR133" s="135"/>
      <c r="BS133" s="132" t="s">
        <v>1177</v>
      </c>
      <c r="BT133" s="133"/>
      <c r="BU133" s="133"/>
      <c r="BV133" s="133"/>
      <c r="BW133" s="133"/>
      <c r="BX133" s="133"/>
      <c r="IR133" s="46">
        <f>BC133*0.0705286400831277</f>
        <v>0</v>
      </c>
      <c r="IS133" s="46">
        <f>BC133*(1-0.0705286400831277)</f>
        <v>0</v>
      </c>
    </row>
    <row r="134" spans="1:76" ht="12.75">
      <c r="A134" s="132"/>
      <c r="B134" s="133"/>
      <c r="C134" s="133"/>
      <c r="D134" s="133"/>
      <c r="E134" s="133"/>
      <c r="F134" s="133"/>
      <c r="G134" s="133"/>
      <c r="H134" s="133"/>
      <c r="I134" s="133"/>
      <c r="J134" s="133"/>
      <c r="K134" s="133"/>
      <c r="L134" s="141" t="s">
        <v>858</v>
      </c>
      <c r="M134" s="142"/>
      <c r="N134" s="142"/>
      <c r="O134" s="142"/>
      <c r="P134" s="142"/>
      <c r="Q134" s="142"/>
      <c r="R134" s="142"/>
      <c r="S134" s="142"/>
      <c r="T134" s="142"/>
      <c r="U134" s="142"/>
      <c r="V134" s="142"/>
      <c r="W134" s="142"/>
      <c r="X134" s="142"/>
      <c r="Y134" s="142"/>
      <c r="Z134" s="142"/>
      <c r="AA134" s="142"/>
      <c r="AB134" s="142"/>
      <c r="AC134" s="142"/>
      <c r="AD134" s="142"/>
      <c r="AE134" s="142"/>
      <c r="AF134" s="142"/>
      <c r="AG134" s="142"/>
      <c r="AH134" s="142"/>
      <c r="AI134" s="142"/>
      <c r="AJ134" s="142"/>
      <c r="AK134" s="142"/>
      <c r="AL134" s="142"/>
      <c r="AM134" s="142"/>
      <c r="AN134" s="142"/>
      <c r="AO134" s="142"/>
      <c r="AP134" s="142"/>
      <c r="AQ134" s="142"/>
      <c r="AR134" s="142"/>
      <c r="AS134" s="142"/>
      <c r="AT134" s="142"/>
      <c r="AU134" s="142"/>
      <c r="AV134" s="132"/>
      <c r="AW134" s="133"/>
      <c r="AX134" s="133"/>
      <c r="AY134" s="133"/>
      <c r="AZ134" s="133"/>
      <c r="BA134" s="133"/>
      <c r="BB134" s="133"/>
      <c r="BC134" s="133"/>
      <c r="BD134" s="133"/>
      <c r="BE134" s="133"/>
      <c r="BF134" s="133"/>
      <c r="BG134" s="133"/>
      <c r="BH134" s="133"/>
      <c r="BI134" s="133"/>
      <c r="BJ134" s="133"/>
      <c r="BK134" s="133"/>
      <c r="BL134" s="133"/>
      <c r="BM134" s="133"/>
      <c r="BN134" s="133"/>
      <c r="BO134" s="133"/>
      <c r="BP134" s="133"/>
      <c r="BQ134" s="133"/>
      <c r="BR134" s="133"/>
      <c r="BS134" s="133"/>
      <c r="BT134" s="133"/>
      <c r="BU134" s="133"/>
      <c r="BV134" s="133"/>
      <c r="BW134" s="133"/>
      <c r="BX134" s="133"/>
    </row>
    <row r="135" spans="1:253" ht="12.75">
      <c r="A135" s="143" t="s">
        <v>84</v>
      </c>
      <c r="B135" s="144"/>
      <c r="C135" s="143"/>
      <c r="D135" s="144"/>
      <c r="E135" s="144"/>
      <c r="F135" s="143" t="s">
        <v>461</v>
      </c>
      <c r="G135" s="144"/>
      <c r="H135" s="144"/>
      <c r="I135" s="144"/>
      <c r="J135" s="144"/>
      <c r="K135" s="144"/>
      <c r="L135" s="143" t="s">
        <v>859</v>
      </c>
      <c r="M135" s="144"/>
      <c r="N135" s="144"/>
      <c r="O135" s="144"/>
      <c r="P135" s="144"/>
      <c r="Q135" s="144"/>
      <c r="R135" s="144"/>
      <c r="S135" s="144"/>
      <c r="T135" s="144"/>
      <c r="U135" s="144"/>
      <c r="V135" s="144"/>
      <c r="W135" s="144"/>
      <c r="X135" s="144"/>
      <c r="Y135" s="144"/>
      <c r="Z135" s="144"/>
      <c r="AA135" s="144"/>
      <c r="AB135" s="144"/>
      <c r="AC135" s="144"/>
      <c r="AD135" s="144"/>
      <c r="AE135" s="144"/>
      <c r="AF135" s="144"/>
      <c r="AG135" s="144"/>
      <c r="AH135" s="144"/>
      <c r="AI135" s="144"/>
      <c r="AJ135" s="144"/>
      <c r="AK135" s="144"/>
      <c r="AL135" s="144"/>
      <c r="AM135" s="144"/>
      <c r="AN135" s="144"/>
      <c r="AO135" s="144"/>
      <c r="AP135" s="144"/>
      <c r="AQ135" s="144"/>
      <c r="AR135" s="144"/>
      <c r="AS135" s="144"/>
      <c r="AT135" s="144"/>
      <c r="AU135" s="144"/>
      <c r="AV135" s="143" t="s">
        <v>1151</v>
      </c>
      <c r="AW135" s="144"/>
      <c r="AX135" s="145">
        <f>'Stavební rozpočet'!F136</f>
        <v>44.9757</v>
      </c>
      <c r="AY135" s="146"/>
      <c r="AZ135" s="146"/>
      <c r="BA135" s="146"/>
      <c r="BB135" s="146"/>
      <c r="BC135" s="145">
        <f>'Stavební rozpočet'!G136</f>
        <v>0</v>
      </c>
      <c r="BD135" s="146"/>
      <c r="BE135" s="146"/>
      <c r="BF135" s="146"/>
      <c r="BG135" s="146"/>
      <c r="BH135" s="146"/>
      <c r="BI135" s="146"/>
      <c r="BJ135" s="146"/>
      <c r="BK135" s="145">
        <f>IR135*AX135+IS135*AX135</f>
        <v>0</v>
      </c>
      <c r="BL135" s="146"/>
      <c r="BM135" s="146"/>
      <c r="BN135" s="146"/>
      <c r="BO135" s="146"/>
      <c r="BP135" s="146"/>
      <c r="BQ135" s="146"/>
      <c r="BR135" s="146"/>
      <c r="BS135" s="143" t="s">
        <v>1177</v>
      </c>
      <c r="BT135" s="144"/>
      <c r="BU135" s="144"/>
      <c r="BV135" s="144"/>
      <c r="BW135" s="144"/>
      <c r="BX135" s="144"/>
      <c r="IR135" s="47">
        <f>BC135*1</f>
        <v>0</v>
      </c>
      <c r="IS135" s="47">
        <f>BC135*(1-1)</f>
        <v>0</v>
      </c>
    </row>
    <row r="136" spans="1:253" ht="12.75">
      <c r="A136" s="132" t="s">
        <v>85</v>
      </c>
      <c r="B136" s="133"/>
      <c r="C136" s="132"/>
      <c r="D136" s="133"/>
      <c r="E136" s="133"/>
      <c r="F136" s="132" t="s">
        <v>462</v>
      </c>
      <c r="G136" s="133"/>
      <c r="H136" s="133"/>
      <c r="I136" s="133"/>
      <c r="J136" s="133"/>
      <c r="K136" s="133"/>
      <c r="L136" s="132" t="s">
        <v>860</v>
      </c>
      <c r="M136" s="133"/>
      <c r="N136" s="133"/>
      <c r="O136" s="133"/>
      <c r="P136" s="133"/>
      <c r="Q136" s="133"/>
      <c r="R136" s="133"/>
      <c r="S136" s="133"/>
      <c r="T136" s="133"/>
      <c r="U136" s="133"/>
      <c r="V136" s="133"/>
      <c r="W136" s="133"/>
      <c r="X136" s="133"/>
      <c r="Y136" s="133"/>
      <c r="Z136" s="133"/>
      <c r="AA136" s="133"/>
      <c r="AB136" s="133"/>
      <c r="AC136" s="133"/>
      <c r="AD136" s="133"/>
      <c r="AE136" s="133"/>
      <c r="AF136" s="133"/>
      <c r="AG136" s="133"/>
      <c r="AH136" s="133"/>
      <c r="AI136" s="133"/>
      <c r="AJ136" s="133"/>
      <c r="AK136" s="133"/>
      <c r="AL136" s="133"/>
      <c r="AM136" s="133"/>
      <c r="AN136" s="133"/>
      <c r="AO136" s="133"/>
      <c r="AP136" s="133"/>
      <c r="AQ136" s="133"/>
      <c r="AR136" s="133"/>
      <c r="AS136" s="133"/>
      <c r="AT136" s="133"/>
      <c r="AU136" s="133"/>
      <c r="AV136" s="132" t="s">
        <v>1152</v>
      </c>
      <c r="AW136" s="133"/>
      <c r="AX136" s="134">
        <f>'Stavební rozpočet'!F137</f>
        <v>0.2846</v>
      </c>
      <c r="AY136" s="135"/>
      <c r="AZ136" s="135"/>
      <c r="BA136" s="135"/>
      <c r="BB136" s="135"/>
      <c r="BC136" s="134">
        <f>'Stavební rozpočet'!G137</f>
        <v>0</v>
      </c>
      <c r="BD136" s="135"/>
      <c r="BE136" s="135"/>
      <c r="BF136" s="135"/>
      <c r="BG136" s="135"/>
      <c r="BH136" s="135"/>
      <c r="BI136" s="135"/>
      <c r="BJ136" s="135"/>
      <c r="BK136" s="134">
        <f>IR136*AX136+IS136*AX136</f>
        <v>0</v>
      </c>
      <c r="BL136" s="135"/>
      <c r="BM136" s="135"/>
      <c r="BN136" s="135"/>
      <c r="BO136" s="135"/>
      <c r="BP136" s="135"/>
      <c r="BQ136" s="135"/>
      <c r="BR136" s="135"/>
      <c r="BS136" s="132" t="s">
        <v>1177</v>
      </c>
      <c r="BT136" s="133"/>
      <c r="BU136" s="133"/>
      <c r="BV136" s="133"/>
      <c r="BW136" s="133"/>
      <c r="BX136" s="133"/>
      <c r="IR136" s="46">
        <f>BC136*0</f>
        <v>0</v>
      </c>
      <c r="IS136" s="46">
        <f>BC136*(1-0)</f>
        <v>0</v>
      </c>
    </row>
    <row r="137" spans="1:76" ht="12.75">
      <c r="A137" s="136" t="s">
        <v>6</v>
      </c>
      <c r="B137" s="137"/>
      <c r="C137" s="136" t="s">
        <v>6</v>
      </c>
      <c r="D137" s="137"/>
      <c r="E137" s="137"/>
      <c r="F137" s="136" t="s">
        <v>463</v>
      </c>
      <c r="G137" s="137"/>
      <c r="H137" s="137"/>
      <c r="I137" s="137"/>
      <c r="J137" s="137"/>
      <c r="K137" s="137"/>
      <c r="L137" s="136" t="s">
        <v>861</v>
      </c>
      <c r="M137" s="137"/>
      <c r="N137" s="137"/>
      <c r="O137" s="137"/>
      <c r="P137" s="137"/>
      <c r="Q137" s="137"/>
      <c r="R137" s="137"/>
      <c r="S137" s="137"/>
      <c r="T137" s="137"/>
      <c r="U137" s="137"/>
      <c r="V137" s="137"/>
      <c r="W137" s="137"/>
      <c r="X137" s="137"/>
      <c r="Y137" s="137"/>
      <c r="Z137" s="137"/>
      <c r="AA137" s="137"/>
      <c r="AB137" s="137"/>
      <c r="AC137" s="137"/>
      <c r="AD137" s="137"/>
      <c r="AE137" s="137"/>
      <c r="AF137" s="137"/>
      <c r="AG137" s="137"/>
      <c r="AH137" s="137"/>
      <c r="AI137" s="137"/>
      <c r="AJ137" s="137"/>
      <c r="AK137" s="137"/>
      <c r="AL137" s="137"/>
      <c r="AM137" s="137"/>
      <c r="AN137" s="137"/>
      <c r="AO137" s="137"/>
      <c r="AP137" s="137"/>
      <c r="AQ137" s="137"/>
      <c r="AR137" s="137"/>
      <c r="AS137" s="137"/>
      <c r="AT137" s="137"/>
      <c r="AU137" s="137"/>
      <c r="AV137" s="136" t="s">
        <v>6</v>
      </c>
      <c r="AW137" s="137"/>
      <c r="AX137" s="138" t="s">
        <v>6</v>
      </c>
      <c r="AY137" s="139"/>
      <c r="AZ137" s="139"/>
      <c r="BA137" s="139"/>
      <c r="BB137" s="139"/>
      <c r="BC137" s="138" t="s">
        <v>6</v>
      </c>
      <c r="BD137" s="139"/>
      <c r="BE137" s="139"/>
      <c r="BF137" s="139"/>
      <c r="BG137" s="139"/>
      <c r="BH137" s="139"/>
      <c r="BI137" s="139"/>
      <c r="BJ137" s="139"/>
      <c r="BK137" s="140">
        <f>SUM(BK138:BK180)</f>
        <v>0</v>
      </c>
      <c r="BL137" s="139"/>
      <c r="BM137" s="139"/>
      <c r="BN137" s="139"/>
      <c r="BO137" s="139"/>
      <c r="BP137" s="139"/>
      <c r="BQ137" s="139"/>
      <c r="BR137" s="139"/>
      <c r="BS137" s="136" t="s">
        <v>6</v>
      </c>
      <c r="BT137" s="137"/>
      <c r="BU137" s="137"/>
      <c r="BV137" s="137"/>
      <c r="BW137" s="137"/>
      <c r="BX137" s="137"/>
    </row>
    <row r="138" spans="1:253" ht="12.75">
      <c r="A138" s="132" t="s">
        <v>86</v>
      </c>
      <c r="B138" s="133"/>
      <c r="C138" s="132"/>
      <c r="D138" s="133"/>
      <c r="E138" s="133"/>
      <c r="F138" s="132" t="s">
        <v>464</v>
      </c>
      <c r="G138" s="133"/>
      <c r="H138" s="133"/>
      <c r="I138" s="133"/>
      <c r="J138" s="133"/>
      <c r="K138" s="133"/>
      <c r="L138" s="132" t="s">
        <v>862</v>
      </c>
      <c r="M138" s="133"/>
      <c r="N138" s="133"/>
      <c r="O138" s="133"/>
      <c r="P138" s="133"/>
      <c r="Q138" s="133"/>
      <c r="R138" s="133"/>
      <c r="S138" s="133"/>
      <c r="T138" s="133"/>
      <c r="U138" s="133"/>
      <c r="V138" s="133"/>
      <c r="W138" s="133"/>
      <c r="X138" s="133"/>
      <c r="Y138" s="133"/>
      <c r="Z138" s="133"/>
      <c r="AA138" s="133"/>
      <c r="AB138" s="133"/>
      <c r="AC138" s="133"/>
      <c r="AD138" s="133"/>
      <c r="AE138" s="133"/>
      <c r="AF138" s="133"/>
      <c r="AG138" s="133"/>
      <c r="AH138" s="133"/>
      <c r="AI138" s="133"/>
      <c r="AJ138" s="133"/>
      <c r="AK138" s="133"/>
      <c r="AL138" s="133"/>
      <c r="AM138" s="133"/>
      <c r="AN138" s="133"/>
      <c r="AO138" s="133"/>
      <c r="AP138" s="133"/>
      <c r="AQ138" s="133"/>
      <c r="AR138" s="133"/>
      <c r="AS138" s="133"/>
      <c r="AT138" s="133"/>
      <c r="AU138" s="133"/>
      <c r="AV138" s="132" t="s">
        <v>1154</v>
      </c>
      <c r="AW138" s="133"/>
      <c r="AX138" s="134">
        <f>'Stavební rozpočet'!F139</f>
        <v>6.1</v>
      </c>
      <c r="AY138" s="135"/>
      <c r="AZ138" s="135"/>
      <c r="BA138" s="135"/>
      <c r="BB138" s="135"/>
      <c r="BC138" s="134">
        <f>'Stavební rozpočet'!G139</f>
        <v>0</v>
      </c>
      <c r="BD138" s="135"/>
      <c r="BE138" s="135"/>
      <c r="BF138" s="135"/>
      <c r="BG138" s="135"/>
      <c r="BH138" s="135"/>
      <c r="BI138" s="135"/>
      <c r="BJ138" s="135"/>
      <c r="BK138" s="134">
        <f aca="true" t="shared" si="3" ref="BK138:BK180">IR138*AX138+IS138*AX138</f>
        <v>0</v>
      </c>
      <c r="BL138" s="135"/>
      <c r="BM138" s="135"/>
      <c r="BN138" s="135"/>
      <c r="BO138" s="135"/>
      <c r="BP138" s="135"/>
      <c r="BQ138" s="135"/>
      <c r="BR138" s="135"/>
      <c r="BS138" s="132" t="s">
        <v>1177</v>
      </c>
      <c r="BT138" s="133"/>
      <c r="BU138" s="133"/>
      <c r="BV138" s="133"/>
      <c r="BW138" s="133"/>
      <c r="BX138" s="133"/>
      <c r="IR138" s="46">
        <f aca="true" t="shared" si="4" ref="IR138:IR180">BC138*0</f>
        <v>0</v>
      </c>
      <c r="IS138" s="46">
        <f aca="true" t="shared" si="5" ref="IS138:IS180">BC138*(1-0)</f>
        <v>0</v>
      </c>
    </row>
    <row r="139" spans="1:253" ht="12.75">
      <c r="A139" s="132" t="s">
        <v>87</v>
      </c>
      <c r="B139" s="133"/>
      <c r="C139" s="132"/>
      <c r="D139" s="133"/>
      <c r="E139" s="133"/>
      <c r="F139" s="132" t="s">
        <v>465</v>
      </c>
      <c r="G139" s="133"/>
      <c r="H139" s="133"/>
      <c r="I139" s="133"/>
      <c r="J139" s="133"/>
      <c r="K139" s="133"/>
      <c r="L139" s="132" t="s">
        <v>863</v>
      </c>
      <c r="M139" s="133"/>
      <c r="N139" s="133"/>
      <c r="O139" s="133"/>
      <c r="P139" s="133"/>
      <c r="Q139" s="133"/>
      <c r="R139" s="133"/>
      <c r="S139" s="133"/>
      <c r="T139" s="133"/>
      <c r="U139" s="133"/>
      <c r="V139" s="133"/>
      <c r="W139" s="133"/>
      <c r="X139" s="133"/>
      <c r="Y139" s="133"/>
      <c r="Z139" s="133"/>
      <c r="AA139" s="133"/>
      <c r="AB139" s="133"/>
      <c r="AC139" s="133"/>
      <c r="AD139" s="133"/>
      <c r="AE139" s="133"/>
      <c r="AF139" s="133"/>
      <c r="AG139" s="133"/>
      <c r="AH139" s="133"/>
      <c r="AI139" s="133"/>
      <c r="AJ139" s="133"/>
      <c r="AK139" s="133"/>
      <c r="AL139" s="133"/>
      <c r="AM139" s="133"/>
      <c r="AN139" s="133"/>
      <c r="AO139" s="133"/>
      <c r="AP139" s="133"/>
      <c r="AQ139" s="133"/>
      <c r="AR139" s="133"/>
      <c r="AS139" s="133"/>
      <c r="AT139" s="133"/>
      <c r="AU139" s="133"/>
      <c r="AV139" s="132" t="s">
        <v>1153</v>
      </c>
      <c r="AW139" s="133"/>
      <c r="AX139" s="134">
        <f>'Stavební rozpočet'!F140</f>
        <v>1</v>
      </c>
      <c r="AY139" s="135"/>
      <c r="AZ139" s="135"/>
      <c r="BA139" s="135"/>
      <c r="BB139" s="135"/>
      <c r="BC139" s="134">
        <f>'Stavební rozpočet'!G140</f>
        <v>0</v>
      </c>
      <c r="BD139" s="135"/>
      <c r="BE139" s="135"/>
      <c r="BF139" s="135"/>
      <c r="BG139" s="135"/>
      <c r="BH139" s="135"/>
      <c r="BI139" s="135"/>
      <c r="BJ139" s="135"/>
      <c r="BK139" s="134">
        <f t="shared" si="3"/>
        <v>0</v>
      </c>
      <c r="BL139" s="135"/>
      <c r="BM139" s="135"/>
      <c r="BN139" s="135"/>
      <c r="BO139" s="135"/>
      <c r="BP139" s="135"/>
      <c r="BQ139" s="135"/>
      <c r="BR139" s="135"/>
      <c r="BS139" s="132" t="s">
        <v>1177</v>
      </c>
      <c r="BT139" s="133"/>
      <c r="BU139" s="133"/>
      <c r="BV139" s="133"/>
      <c r="BW139" s="133"/>
      <c r="BX139" s="133"/>
      <c r="IR139" s="46">
        <f t="shared" si="4"/>
        <v>0</v>
      </c>
      <c r="IS139" s="46">
        <f t="shared" si="5"/>
        <v>0</v>
      </c>
    </row>
    <row r="140" spans="1:253" ht="12.75">
      <c r="A140" s="132" t="s">
        <v>88</v>
      </c>
      <c r="B140" s="133"/>
      <c r="C140" s="132"/>
      <c r="D140" s="133"/>
      <c r="E140" s="133"/>
      <c r="F140" s="132" t="s">
        <v>466</v>
      </c>
      <c r="G140" s="133"/>
      <c r="H140" s="133"/>
      <c r="I140" s="133"/>
      <c r="J140" s="133"/>
      <c r="K140" s="133"/>
      <c r="L140" s="132" t="s">
        <v>864</v>
      </c>
      <c r="M140" s="133"/>
      <c r="N140" s="133"/>
      <c r="O140" s="133"/>
      <c r="P140" s="133"/>
      <c r="Q140" s="133"/>
      <c r="R140" s="133"/>
      <c r="S140" s="133"/>
      <c r="T140" s="133"/>
      <c r="U140" s="133"/>
      <c r="V140" s="133"/>
      <c r="W140" s="133"/>
      <c r="X140" s="133"/>
      <c r="Y140" s="133"/>
      <c r="Z140" s="133"/>
      <c r="AA140" s="133"/>
      <c r="AB140" s="133"/>
      <c r="AC140" s="133"/>
      <c r="AD140" s="133"/>
      <c r="AE140" s="133"/>
      <c r="AF140" s="133"/>
      <c r="AG140" s="133"/>
      <c r="AH140" s="133"/>
      <c r="AI140" s="133"/>
      <c r="AJ140" s="133"/>
      <c r="AK140" s="133"/>
      <c r="AL140" s="133"/>
      <c r="AM140" s="133"/>
      <c r="AN140" s="133"/>
      <c r="AO140" s="133"/>
      <c r="AP140" s="133"/>
      <c r="AQ140" s="133"/>
      <c r="AR140" s="133"/>
      <c r="AS140" s="133"/>
      <c r="AT140" s="133"/>
      <c r="AU140" s="133"/>
      <c r="AV140" s="132" t="s">
        <v>1154</v>
      </c>
      <c r="AW140" s="133"/>
      <c r="AX140" s="134">
        <f>'Stavební rozpočet'!F141</f>
        <v>6.1</v>
      </c>
      <c r="AY140" s="135"/>
      <c r="AZ140" s="135"/>
      <c r="BA140" s="135"/>
      <c r="BB140" s="135"/>
      <c r="BC140" s="134">
        <f>'Stavební rozpočet'!G141</f>
        <v>0</v>
      </c>
      <c r="BD140" s="135"/>
      <c r="BE140" s="135"/>
      <c r="BF140" s="135"/>
      <c r="BG140" s="135"/>
      <c r="BH140" s="135"/>
      <c r="BI140" s="135"/>
      <c r="BJ140" s="135"/>
      <c r="BK140" s="134">
        <f t="shared" si="3"/>
        <v>0</v>
      </c>
      <c r="BL140" s="135"/>
      <c r="BM140" s="135"/>
      <c r="BN140" s="135"/>
      <c r="BO140" s="135"/>
      <c r="BP140" s="135"/>
      <c r="BQ140" s="135"/>
      <c r="BR140" s="135"/>
      <c r="BS140" s="132" t="s">
        <v>1177</v>
      </c>
      <c r="BT140" s="133"/>
      <c r="BU140" s="133"/>
      <c r="BV140" s="133"/>
      <c r="BW140" s="133"/>
      <c r="BX140" s="133"/>
      <c r="IR140" s="46">
        <f t="shared" si="4"/>
        <v>0</v>
      </c>
      <c r="IS140" s="46">
        <f t="shared" si="5"/>
        <v>0</v>
      </c>
    </row>
    <row r="141" spans="1:253" ht="12.75">
      <c r="A141" s="132" t="s">
        <v>89</v>
      </c>
      <c r="B141" s="133"/>
      <c r="C141" s="132"/>
      <c r="D141" s="133"/>
      <c r="E141" s="133"/>
      <c r="F141" s="132" t="s">
        <v>467</v>
      </c>
      <c r="G141" s="133"/>
      <c r="H141" s="133"/>
      <c r="I141" s="133"/>
      <c r="J141" s="133"/>
      <c r="K141" s="133"/>
      <c r="L141" s="132" t="s">
        <v>865</v>
      </c>
      <c r="M141" s="133"/>
      <c r="N141" s="133"/>
      <c r="O141" s="133"/>
      <c r="P141" s="133"/>
      <c r="Q141" s="133"/>
      <c r="R141" s="133"/>
      <c r="S141" s="133"/>
      <c r="T141" s="133"/>
      <c r="U141" s="133"/>
      <c r="V141" s="133"/>
      <c r="W141" s="133"/>
      <c r="X141" s="133"/>
      <c r="Y141" s="133"/>
      <c r="Z141" s="133"/>
      <c r="AA141" s="133"/>
      <c r="AB141" s="133"/>
      <c r="AC141" s="133"/>
      <c r="AD141" s="133"/>
      <c r="AE141" s="133"/>
      <c r="AF141" s="133"/>
      <c r="AG141" s="133"/>
      <c r="AH141" s="133"/>
      <c r="AI141" s="133"/>
      <c r="AJ141" s="133"/>
      <c r="AK141" s="133"/>
      <c r="AL141" s="133"/>
      <c r="AM141" s="133"/>
      <c r="AN141" s="133"/>
      <c r="AO141" s="133"/>
      <c r="AP141" s="133"/>
      <c r="AQ141" s="133"/>
      <c r="AR141" s="133"/>
      <c r="AS141" s="133"/>
      <c r="AT141" s="133"/>
      <c r="AU141" s="133"/>
      <c r="AV141" s="132" t="s">
        <v>1154</v>
      </c>
      <c r="AW141" s="133"/>
      <c r="AX141" s="134">
        <f>'Stavební rozpočet'!F142</f>
        <v>6.1</v>
      </c>
      <c r="AY141" s="135"/>
      <c r="AZ141" s="135"/>
      <c r="BA141" s="135"/>
      <c r="BB141" s="135"/>
      <c r="BC141" s="134">
        <f>'Stavební rozpočet'!G142</f>
        <v>0</v>
      </c>
      <c r="BD141" s="135"/>
      <c r="BE141" s="135"/>
      <c r="BF141" s="135"/>
      <c r="BG141" s="135"/>
      <c r="BH141" s="135"/>
      <c r="BI141" s="135"/>
      <c r="BJ141" s="135"/>
      <c r="BK141" s="134">
        <f t="shared" si="3"/>
        <v>0</v>
      </c>
      <c r="BL141" s="135"/>
      <c r="BM141" s="135"/>
      <c r="BN141" s="135"/>
      <c r="BO141" s="135"/>
      <c r="BP141" s="135"/>
      <c r="BQ141" s="135"/>
      <c r="BR141" s="135"/>
      <c r="BS141" s="132" t="s">
        <v>1177</v>
      </c>
      <c r="BT141" s="133"/>
      <c r="BU141" s="133"/>
      <c r="BV141" s="133"/>
      <c r="BW141" s="133"/>
      <c r="BX141" s="133"/>
      <c r="IR141" s="46">
        <f t="shared" si="4"/>
        <v>0</v>
      </c>
      <c r="IS141" s="46">
        <f t="shared" si="5"/>
        <v>0</v>
      </c>
    </row>
    <row r="142" spans="1:253" ht="12.75">
      <c r="A142" s="132" t="s">
        <v>90</v>
      </c>
      <c r="B142" s="133"/>
      <c r="C142" s="132"/>
      <c r="D142" s="133"/>
      <c r="E142" s="133"/>
      <c r="F142" s="132" t="s">
        <v>468</v>
      </c>
      <c r="G142" s="133"/>
      <c r="H142" s="133"/>
      <c r="I142" s="133"/>
      <c r="J142" s="133"/>
      <c r="K142" s="133"/>
      <c r="L142" s="132" t="s">
        <v>866</v>
      </c>
      <c r="M142" s="133"/>
      <c r="N142" s="133"/>
      <c r="O142" s="133"/>
      <c r="P142" s="133"/>
      <c r="Q142" s="133"/>
      <c r="R142" s="133"/>
      <c r="S142" s="133"/>
      <c r="T142" s="133"/>
      <c r="U142" s="133"/>
      <c r="V142" s="133"/>
      <c r="W142" s="133"/>
      <c r="X142" s="133"/>
      <c r="Y142" s="133"/>
      <c r="Z142" s="133"/>
      <c r="AA142" s="133"/>
      <c r="AB142" s="133"/>
      <c r="AC142" s="133"/>
      <c r="AD142" s="133"/>
      <c r="AE142" s="133"/>
      <c r="AF142" s="133"/>
      <c r="AG142" s="133"/>
      <c r="AH142" s="133"/>
      <c r="AI142" s="133"/>
      <c r="AJ142" s="133"/>
      <c r="AK142" s="133"/>
      <c r="AL142" s="133"/>
      <c r="AM142" s="133"/>
      <c r="AN142" s="133"/>
      <c r="AO142" s="133"/>
      <c r="AP142" s="133"/>
      <c r="AQ142" s="133"/>
      <c r="AR142" s="133"/>
      <c r="AS142" s="133"/>
      <c r="AT142" s="133"/>
      <c r="AU142" s="133"/>
      <c r="AV142" s="132" t="s">
        <v>1154</v>
      </c>
      <c r="AW142" s="133"/>
      <c r="AX142" s="134">
        <f>'Stavební rozpočet'!F143</f>
        <v>6.1</v>
      </c>
      <c r="AY142" s="135"/>
      <c r="AZ142" s="135"/>
      <c r="BA142" s="135"/>
      <c r="BB142" s="135"/>
      <c r="BC142" s="134">
        <f>'Stavební rozpočet'!G143</f>
        <v>0</v>
      </c>
      <c r="BD142" s="135"/>
      <c r="BE142" s="135"/>
      <c r="BF142" s="135"/>
      <c r="BG142" s="135"/>
      <c r="BH142" s="135"/>
      <c r="BI142" s="135"/>
      <c r="BJ142" s="135"/>
      <c r="BK142" s="134">
        <f t="shared" si="3"/>
        <v>0</v>
      </c>
      <c r="BL142" s="135"/>
      <c r="BM142" s="135"/>
      <c r="BN142" s="135"/>
      <c r="BO142" s="135"/>
      <c r="BP142" s="135"/>
      <c r="BQ142" s="135"/>
      <c r="BR142" s="135"/>
      <c r="BS142" s="132" t="s">
        <v>1177</v>
      </c>
      <c r="BT142" s="133"/>
      <c r="BU142" s="133"/>
      <c r="BV142" s="133"/>
      <c r="BW142" s="133"/>
      <c r="BX142" s="133"/>
      <c r="IR142" s="46">
        <f t="shared" si="4"/>
        <v>0</v>
      </c>
      <c r="IS142" s="46">
        <f t="shared" si="5"/>
        <v>0</v>
      </c>
    </row>
    <row r="143" spans="1:253" ht="12.75">
      <c r="A143" s="132" t="s">
        <v>91</v>
      </c>
      <c r="B143" s="133"/>
      <c r="C143" s="132"/>
      <c r="D143" s="133"/>
      <c r="E143" s="133"/>
      <c r="F143" s="132" t="s">
        <v>469</v>
      </c>
      <c r="G143" s="133"/>
      <c r="H143" s="133"/>
      <c r="I143" s="133"/>
      <c r="J143" s="133"/>
      <c r="K143" s="133"/>
      <c r="L143" s="132" t="s">
        <v>867</v>
      </c>
      <c r="M143" s="133"/>
      <c r="N143" s="133"/>
      <c r="O143" s="133"/>
      <c r="P143" s="133"/>
      <c r="Q143" s="133"/>
      <c r="R143" s="133"/>
      <c r="S143" s="133"/>
      <c r="T143" s="133"/>
      <c r="U143" s="133"/>
      <c r="V143" s="133"/>
      <c r="W143" s="133"/>
      <c r="X143" s="133"/>
      <c r="Y143" s="133"/>
      <c r="Z143" s="133"/>
      <c r="AA143" s="133"/>
      <c r="AB143" s="133"/>
      <c r="AC143" s="133"/>
      <c r="AD143" s="133"/>
      <c r="AE143" s="133"/>
      <c r="AF143" s="133"/>
      <c r="AG143" s="133"/>
      <c r="AH143" s="133"/>
      <c r="AI143" s="133"/>
      <c r="AJ143" s="133"/>
      <c r="AK143" s="133"/>
      <c r="AL143" s="133"/>
      <c r="AM143" s="133"/>
      <c r="AN143" s="133"/>
      <c r="AO143" s="133"/>
      <c r="AP143" s="133"/>
      <c r="AQ143" s="133"/>
      <c r="AR143" s="133"/>
      <c r="AS143" s="133"/>
      <c r="AT143" s="133"/>
      <c r="AU143" s="133"/>
      <c r="AV143" s="132" t="s">
        <v>1153</v>
      </c>
      <c r="AW143" s="133"/>
      <c r="AX143" s="134">
        <f>'Stavební rozpočet'!F144</f>
        <v>1</v>
      </c>
      <c r="AY143" s="135"/>
      <c r="AZ143" s="135"/>
      <c r="BA143" s="135"/>
      <c r="BB143" s="135"/>
      <c r="BC143" s="134">
        <f>'Stavební rozpočet'!G144</f>
        <v>0</v>
      </c>
      <c r="BD143" s="135"/>
      <c r="BE143" s="135"/>
      <c r="BF143" s="135"/>
      <c r="BG143" s="135"/>
      <c r="BH143" s="135"/>
      <c r="BI143" s="135"/>
      <c r="BJ143" s="135"/>
      <c r="BK143" s="134">
        <f t="shared" si="3"/>
        <v>0</v>
      </c>
      <c r="BL143" s="135"/>
      <c r="BM143" s="135"/>
      <c r="BN143" s="135"/>
      <c r="BO143" s="135"/>
      <c r="BP143" s="135"/>
      <c r="BQ143" s="135"/>
      <c r="BR143" s="135"/>
      <c r="BS143" s="132" t="s">
        <v>1177</v>
      </c>
      <c r="BT143" s="133"/>
      <c r="BU143" s="133"/>
      <c r="BV143" s="133"/>
      <c r="BW143" s="133"/>
      <c r="BX143" s="133"/>
      <c r="IR143" s="46">
        <f t="shared" si="4"/>
        <v>0</v>
      </c>
      <c r="IS143" s="46">
        <f t="shared" si="5"/>
        <v>0</v>
      </c>
    </row>
    <row r="144" spans="1:253" ht="12.75">
      <c r="A144" s="132" t="s">
        <v>92</v>
      </c>
      <c r="B144" s="133"/>
      <c r="C144" s="132"/>
      <c r="D144" s="133"/>
      <c r="E144" s="133"/>
      <c r="F144" s="132" t="s">
        <v>470</v>
      </c>
      <c r="G144" s="133"/>
      <c r="H144" s="133"/>
      <c r="I144" s="133"/>
      <c r="J144" s="133"/>
      <c r="K144" s="133"/>
      <c r="L144" s="132" t="s">
        <v>868</v>
      </c>
      <c r="M144" s="133"/>
      <c r="N144" s="133"/>
      <c r="O144" s="133"/>
      <c r="P144" s="133"/>
      <c r="Q144" s="133"/>
      <c r="R144" s="133"/>
      <c r="S144" s="133"/>
      <c r="T144" s="133"/>
      <c r="U144" s="133"/>
      <c r="V144" s="133"/>
      <c r="W144" s="133"/>
      <c r="X144" s="133"/>
      <c r="Y144" s="133"/>
      <c r="Z144" s="133"/>
      <c r="AA144" s="133"/>
      <c r="AB144" s="133"/>
      <c r="AC144" s="133"/>
      <c r="AD144" s="133"/>
      <c r="AE144" s="133"/>
      <c r="AF144" s="133"/>
      <c r="AG144" s="133"/>
      <c r="AH144" s="133"/>
      <c r="AI144" s="133"/>
      <c r="AJ144" s="133"/>
      <c r="AK144" s="133"/>
      <c r="AL144" s="133"/>
      <c r="AM144" s="133"/>
      <c r="AN144" s="133"/>
      <c r="AO144" s="133"/>
      <c r="AP144" s="133"/>
      <c r="AQ144" s="133"/>
      <c r="AR144" s="133"/>
      <c r="AS144" s="133"/>
      <c r="AT144" s="133"/>
      <c r="AU144" s="133"/>
      <c r="AV144" s="132" t="s">
        <v>1154</v>
      </c>
      <c r="AW144" s="133"/>
      <c r="AX144" s="134">
        <f>'Stavební rozpočet'!F145</f>
        <v>9.7</v>
      </c>
      <c r="AY144" s="135"/>
      <c r="AZ144" s="135"/>
      <c r="BA144" s="135"/>
      <c r="BB144" s="135"/>
      <c r="BC144" s="134">
        <f>'Stavební rozpočet'!G145</f>
        <v>0</v>
      </c>
      <c r="BD144" s="135"/>
      <c r="BE144" s="135"/>
      <c r="BF144" s="135"/>
      <c r="BG144" s="135"/>
      <c r="BH144" s="135"/>
      <c r="BI144" s="135"/>
      <c r="BJ144" s="135"/>
      <c r="BK144" s="134">
        <f t="shared" si="3"/>
        <v>0</v>
      </c>
      <c r="BL144" s="135"/>
      <c r="BM144" s="135"/>
      <c r="BN144" s="135"/>
      <c r="BO144" s="135"/>
      <c r="BP144" s="135"/>
      <c r="BQ144" s="135"/>
      <c r="BR144" s="135"/>
      <c r="BS144" s="132" t="s">
        <v>1177</v>
      </c>
      <c r="BT144" s="133"/>
      <c r="BU144" s="133"/>
      <c r="BV144" s="133"/>
      <c r="BW144" s="133"/>
      <c r="BX144" s="133"/>
      <c r="IR144" s="46">
        <f t="shared" si="4"/>
        <v>0</v>
      </c>
      <c r="IS144" s="46">
        <f t="shared" si="5"/>
        <v>0</v>
      </c>
    </row>
    <row r="145" spans="1:253" ht="12.75">
      <c r="A145" s="132" t="s">
        <v>93</v>
      </c>
      <c r="B145" s="133"/>
      <c r="C145" s="132"/>
      <c r="D145" s="133"/>
      <c r="E145" s="133"/>
      <c r="F145" s="132" t="s">
        <v>471</v>
      </c>
      <c r="G145" s="133"/>
      <c r="H145" s="133"/>
      <c r="I145" s="133"/>
      <c r="J145" s="133"/>
      <c r="K145" s="133"/>
      <c r="L145" s="132" t="s">
        <v>869</v>
      </c>
      <c r="M145" s="133"/>
      <c r="N145" s="133"/>
      <c r="O145" s="133"/>
      <c r="P145" s="133"/>
      <c r="Q145" s="133"/>
      <c r="R145" s="133"/>
      <c r="S145" s="133"/>
      <c r="T145" s="133"/>
      <c r="U145" s="133"/>
      <c r="V145" s="133"/>
      <c r="W145" s="133"/>
      <c r="X145" s="133"/>
      <c r="Y145" s="133"/>
      <c r="Z145" s="133"/>
      <c r="AA145" s="133"/>
      <c r="AB145" s="133"/>
      <c r="AC145" s="133"/>
      <c r="AD145" s="133"/>
      <c r="AE145" s="133"/>
      <c r="AF145" s="133"/>
      <c r="AG145" s="133"/>
      <c r="AH145" s="133"/>
      <c r="AI145" s="133"/>
      <c r="AJ145" s="133"/>
      <c r="AK145" s="133"/>
      <c r="AL145" s="133"/>
      <c r="AM145" s="133"/>
      <c r="AN145" s="133"/>
      <c r="AO145" s="133"/>
      <c r="AP145" s="133"/>
      <c r="AQ145" s="133"/>
      <c r="AR145" s="133"/>
      <c r="AS145" s="133"/>
      <c r="AT145" s="133"/>
      <c r="AU145" s="133"/>
      <c r="AV145" s="132" t="s">
        <v>1154</v>
      </c>
      <c r="AW145" s="133"/>
      <c r="AX145" s="134">
        <f>'Stavební rozpočet'!F146</f>
        <v>16.6</v>
      </c>
      <c r="AY145" s="135"/>
      <c r="AZ145" s="135"/>
      <c r="BA145" s="135"/>
      <c r="BB145" s="135"/>
      <c r="BC145" s="134">
        <f>'Stavební rozpočet'!G146</f>
        <v>0</v>
      </c>
      <c r="BD145" s="135"/>
      <c r="BE145" s="135"/>
      <c r="BF145" s="135"/>
      <c r="BG145" s="135"/>
      <c r="BH145" s="135"/>
      <c r="BI145" s="135"/>
      <c r="BJ145" s="135"/>
      <c r="BK145" s="134">
        <f t="shared" si="3"/>
        <v>0</v>
      </c>
      <c r="BL145" s="135"/>
      <c r="BM145" s="135"/>
      <c r="BN145" s="135"/>
      <c r="BO145" s="135"/>
      <c r="BP145" s="135"/>
      <c r="BQ145" s="135"/>
      <c r="BR145" s="135"/>
      <c r="BS145" s="132" t="s">
        <v>1177</v>
      </c>
      <c r="BT145" s="133"/>
      <c r="BU145" s="133"/>
      <c r="BV145" s="133"/>
      <c r="BW145" s="133"/>
      <c r="BX145" s="133"/>
      <c r="IR145" s="46">
        <f t="shared" si="4"/>
        <v>0</v>
      </c>
      <c r="IS145" s="46">
        <f t="shared" si="5"/>
        <v>0</v>
      </c>
    </row>
    <row r="146" spans="1:253" ht="12.75">
      <c r="A146" s="132" t="s">
        <v>94</v>
      </c>
      <c r="B146" s="133"/>
      <c r="C146" s="132"/>
      <c r="D146" s="133"/>
      <c r="E146" s="133"/>
      <c r="F146" s="132" t="s">
        <v>472</v>
      </c>
      <c r="G146" s="133"/>
      <c r="H146" s="133"/>
      <c r="I146" s="133"/>
      <c r="J146" s="133"/>
      <c r="K146" s="133"/>
      <c r="L146" s="132" t="s">
        <v>870</v>
      </c>
      <c r="M146" s="133"/>
      <c r="N146" s="133"/>
      <c r="O146" s="133"/>
      <c r="P146" s="133"/>
      <c r="Q146" s="133"/>
      <c r="R146" s="133"/>
      <c r="S146" s="133"/>
      <c r="T146" s="133"/>
      <c r="U146" s="133"/>
      <c r="V146" s="133"/>
      <c r="W146" s="133"/>
      <c r="X146" s="133"/>
      <c r="Y146" s="133"/>
      <c r="Z146" s="133"/>
      <c r="AA146" s="133"/>
      <c r="AB146" s="133"/>
      <c r="AC146" s="133"/>
      <c r="AD146" s="133"/>
      <c r="AE146" s="133"/>
      <c r="AF146" s="133"/>
      <c r="AG146" s="133"/>
      <c r="AH146" s="133"/>
      <c r="AI146" s="133"/>
      <c r="AJ146" s="133"/>
      <c r="AK146" s="133"/>
      <c r="AL146" s="133"/>
      <c r="AM146" s="133"/>
      <c r="AN146" s="133"/>
      <c r="AO146" s="133"/>
      <c r="AP146" s="133"/>
      <c r="AQ146" s="133"/>
      <c r="AR146" s="133"/>
      <c r="AS146" s="133"/>
      <c r="AT146" s="133"/>
      <c r="AU146" s="133"/>
      <c r="AV146" s="132" t="s">
        <v>1154</v>
      </c>
      <c r="AW146" s="133"/>
      <c r="AX146" s="134">
        <f>'Stavební rozpočet'!F147</f>
        <v>13.8</v>
      </c>
      <c r="AY146" s="135"/>
      <c r="AZ146" s="135"/>
      <c r="BA146" s="135"/>
      <c r="BB146" s="135"/>
      <c r="BC146" s="134">
        <f>'Stavební rozpočet'!G147</f>
        <v>0</v>
      </c>
      <c r="BD146" s="135"/>
      <c r="BE146" s="135"/>
      <c r="BF146" s="135"/>
      <c r="BG146" s="135"/>
      <c r="BH146" s="135"/>
      <c r="BI146" s="135"/>
      <c r="BJ146" s="135"/>
      <c r="BK146" s="134">
        <f t="shared" si="3"/>
        <v>0</v>
      </c>
      <c r="BL146" s="135"/>
      <c r="BM146" s="135"/>
      <c r="BN146" s="135"/>
      <c r="BO146" s="135"/>
      <c r="BP146" s="135"/>
      <c r="BQ146" s="135"/>
      <c r="BR146" s="135"/>
      <c r="BS146" s="132" t="s">
        <v>1177</v>
      </c>
      <c r="BT146" s="133"/>
      <c r="BU146" s="133"/>
      <c r="BV146" s="133"/>
      <c r="BW146" s="133"/>
      <c r="BX146" s="133"/>
      <c r="IR146" s="46">
        <f t="shared" si="4"/>
        <v>0</v>
      </c>
      <c r="IS146" s="46">
        <f t="shared" si="5"/>
        <v>0</v>
      </c>
    </row>
    <row r="147" spans="1:253" ht="12.75">
      <c r="A147" s="132" t="s">
        <v>95</v>
      </c>
      <c r="B147" s="133"/>
      <c r="C147" s="132"/>
      <c r="D147" s="133"/>
      <c r="E147" s="133"/>
      <c r="F147" s="132" t="s">
        <v>473</v>
      </c>
      <c r="G147" s="133"/>
      <c r="H147" s="133"/>
      <c r="I147" s="133"/>
      <c r="J147" s="133"/>
      <c r="K147" s="133"/>
      <c r="L147" s="132" t="s">
        <v>871</v>
      </c>
      <c r="M147" s="133"/>
      <c r="N147" s="133"/>
      <c r="O147" s="133"/>
      <c r="P147" s="133"/>
      <c r="Q147" s="133"/>
      <c r="R147" s="133"/>
      <c r="S147" s="133"/>
      <c r="T147" s="133"/>
      <c r="U147" s="133"/>
      <c r="V147" s="133"/>
      <c r="W147" s="133"/>
      <c r="X147" s="133"/>
      <c r="Y147" s="133"/>
      <c r="Z147" s="133"/>
      <c r="AA147" s="133"/>
      <c r="AB147" s="133"/>
      <c r="AC147" s="133"/>
      <c r="AD147" s="133"/>
      <c r="AE147" s="133"/>
      <c r="AF147" s="133"/>
      <c r="AG147" s="133"/>
      <c r="AH147" s="133"/>
      <c r="AI147" s="133"/>
      <c r="AJ147" s="133"/>
      <c r="AK147" s="133"/>
      <c r="AL147" s="133"/>
      <c r="AM147" s="133"/>
      <c r="AN147" s="133"/>
      <c r="AO147" s="133"/>
      <c r="AP147" s="133"/>
      <c r="AQ147" s="133"/>
      <c r="AR147" s="133"/>
      <c r="AS147" s="133"/>
      <c r="AT147" s="133"/>
      <c r="AU147" s="133"/>
      <c r="AV147" s="132" t="s">
        <v>1154</v>
      </c>
      <c r="AW147" s="133"/>
      <c r="AX147" s="134">
        <f>'Stavební rozpočet'!F148</f>
        <v>1.8</v>
      </c>
      <c r="AY147" s="135"/>
      <c r="AZ147" s="135"/>
      <c r="BA147" s="135"/>
      <c r="BB147" s="135"/>
      <c r="BC147" s="134">
        <f>'Stavební rozpočet'!G148</f>
        <v>0</v>
      </c>
      <c r="BD147" s="135"/>
      <c r="BE147" s="135"/>
      <c r="BF147" s="135"/>
      <c r="BG147" s="135"/>
      <c r="BH147" s="135"/>
      <c r="BI147" s="135"/>
      <c r="BJ147" s="135"/>
      <c r="BK147" s="134">
        <f t="shared" si="3"/>
        <v>0</v>
      </c>
      <c r="BL147" s="135"/>
      <c r="BM147" s="135"/>
      <c r="BN147" s="135"/>
      <c r="BO147" s="135"/>
      <c r="BP147" s="135"/>
      <c r="BQ147" s="135"/>
      <c r="BR147" s="135"/>
      <c r="BS147" s="132" t="s">
        <v>1177</v>
      </c>
      <c r="BT147" s="133"/>
      <c r="BU147" s="133"/>
      <c r="BV147" s="133"/>
      <c r="BW147" s="133"/>
      <c r="BX147" s="133"/>
      <c r="IR147" s="46">
        <f t="shared" si="4"/>
        <v>0</v>
      </c>
      <c r="IS147" s="46">
        <f t="shared" si="5"/>
        <v>0</v>
      </c>
    </row>
    <row r="148" spans="1:253" ht="12.75">
      <c r="A148" s="132" t="s">
        <v>96</v>
      </c>
      <c r="B148" s="133"/>
      <c r="C148" s="132"/>
      <c r="D148" s="133"/>
      <c r="E148" s="133"/>
      <c r="F148" s="132" t="s">
        <v>474</v>
      </c>
      <c r="G148" s="133"/>
      <c r="H148" s="133"/>
      <c r="I148" s="133"/>
      <c r="J148" s="133"/>
      <c r="K148" s="133"/>
      <c r="L148" s="132" t="s">
        <v>872</v>
      </c>
      <c r="M148" s="133"/>
      <c r="N148" s="133"/>
      <c r="O148" s="133"/>
      <c r="P148" s="133"/>
      <c r="Q148" s="133"/>
      <c r="R148" s="133"/>
      <c r="S148" s="133"/>
      <c r="T148" s="133"/>
      <c r="U148" s="133"/>
      <c r="V148" s="133"/>
      <c r="W148" s="133"/>
      <c r="X148" s="133"/>
      <c r="Y148" s="133"/>
      <c r="Z148" s="133"/>
      <c r="AA148" s="133"/>
      <c r="AB148" s="133"/>
      <c r="AC148" s="133"/>
      <c r="AD148" s="133"/>
      <c r="AE148" s="133"/>
      <c r="AF148" s="133"/>
      <c r="AG148" s="133"/>
      <c r="AH148" s="133"/>
      <c r="AI148" s="133"/>
      <c r="AJ148" s="133"/>
      <c r="AK148" s="133"/>
      <c r="AL148" s="133"/>
      <c r="AM148" s="133"/>
      <c r="AN148" s="133"/>
      <c r="AO148" s="133"/>
      <c r="AP148" s="133"/>
      <c r="AQ148" s="133"/>
      <c r="AR148" s="133"/>
      <c r="AS148" s="133"/>
      <c r="AT148" s="133"/>
      <c r="AU148" s="133"/>
      <c r="AV148" s="132" t="s">
        <v>1154</v>
      </c>
      <c r="AW148" s="133"/>
      <c r="AX148" s="134">
        <f>'Stavební rozpočet'!F149</f>
        <v>19.6</v>
      </c>
      <c r="AY148" s="135"/>
      <c r="AZ148" s="135"/>
      <c r="BA148" s="135"/>
      <c r="BB148" s="135"/>
      <c r="BC148" s="134">
        <f>'Stavební rozpočet'!G149</f>
        <v>0</v>
      </c>
      <c r="BD148" s="135"/>
      <c r="BE148" s="135"/>
      <c r="BF148" s="135"/>
      <c r="BG148" s="135"/>
      <c r="BH148" s="135"/>
      <c r="BI148" s="135"/>
      <c r="BJ148" s="135"/>
      <c r="BK148" s="134">
        <f t="shared" si="3"/>
        <v>0</v>
      </c>
      <c r="BL148" s="135"/>
      <c r="BM148" s="135"/>
      <c r="BN148" s="135"/>
      <c r="BO148" s="135"/>
      <c r="BP148" s="135"/>
      <c r="BQ148" s="135"/>
      <c r="BR148" s="135"/>
      <c r="BS148" s="132" t="s">
        <v>1177</v>
      </c>
      <c r="BT148" s="133"/>
      <c r="BU148" s="133"/>
      <c r="BV148" s="133"/>
      <c r="BW148" s="133"/>
      <c r="BX148" s="133"/>
      <c r="IR148" s="46">
        <f t="shared" si="4"/>
        <v>0</v>
      </c>
      <c r="IS148" s="46">
        <f t="shared" si="5"/>
        <v>0</v>
      </c>
    </row>
    <row r="149" spans="1:253" ht="12.75">
      <c r="A149" s="132" t="s">
        <v>97</v>
      </c>
      <c r="B149" s="133"/>
      <c r="C149" s="132"/>
      <c r="D149" s="133"/>
      <c r="E149" s="133"/>
      <c r="F149" s="132" t="s">
        <v>475</v>
      </c>
      <c r="G149" s="133"/>
      <c r="H149" s="133"/>
      <c r="I149" s="133"/>
      <c r="J149" s="133"/>
      <c r="K149" s="133"/>
      <c r="L149" s="132" t="s">
        <v>873</v>
      </c>
      <c r="M149" s="133"/>
      <c r="N149" s="133"/>
      <c r="O149" s="133"/>
      <c r="P149" s="133"/>
      <c r="Q149" s="133"/>
      <c r="R149" s="133"/>
      <c r="S149" s="133"/>
      <c r="T149" s="133"/>
      <c r="U149" s="133"/>
      <c r="V149" s="133"/>
      <c r="W149" s="133"/>
      <c r="X149" s="133"/>
      <c r="Y149" s="133"/>
      <c r="Z149" s="133"/>
      <c r="AA149" s="133"/>
      <c r="AB149" s="133"/>
      <c r="AC149" s="133"/>
      <c r="AD149" s="133"/>
      <c r="AE149" s="133"/>
      <c r="AF149" s="133"/>
      <c r="AG149" s="133"/>
      <c r="AH149" s="133"/>
      <c r="AI149" s="133"/>
      <c r="AJ149" s="133"/>
      <c r="AK149" s="133"/>
      <c r="AL149" s="133"/>
      <c r="AM149" s="133"/>
      <c r="AN149" s="133"/>
      <c r="AO149" s="133"/>
      <c r="AP149" s="133"/>
      <c r="AQ149" s="133"/>
      <c r="AR149" s="133"/>
      <c r="AS149" s="133"/>
      <c r="AT149" s="133"/>
      <c r="AU149" s="133"/>
      <c r="AV149" s="132" t="s">
        <v>1154</v>
      </c>
      <c r="AW149" s="133"/>
      <c r="AX149" s="134">
        <f>'Stavební rozpočet'!F150</f>
        <v>2.9</v>
      </c>
      <c r="AY149" s="135"/>
      <c r="AZ149" s="135"/>
      <c r="BA149" s="135"/>
      <c r="BB149" s="135"/>
      <c r="BC149" s="134">
        <f>'Stavební rozpočet'!G150</f>
        <v>0</v>
      </c>
      <c r="BD149" s="135"/>
      <c r="BE149" s="135"/>
      <c r="BF149" s="135"/>
      <c r="BG149" s="135"/>
      <c r="BH149" s="135"/>
      <c r="BI149" s="135"/>
      <c r="BJ149" s="135"/>
      <c r="BK149" s="134">
        <f t="shared" si="3"/>
        <v>0</v>
      </c>
      <c r="BL149" s="135"/>
      <c r="BM149" s="135"/>
      <c r="BN149" s="135"/>
      <c r="BO149" s="135"/>
      <c r="BP149" s="135"/>
      <c r="BQ149" s="135"/>
      <c r="BR149" s="135"/>
      <c r="BS149" s="132" t="s">
        <v>1177</v>
      </c>
      <c r="BT149" s="133"/>
      <c r="BU149" s="133"/>
      <c r="BV149" s="133"/>
      <c r="BW149" s="133"/>
      <c r="BX149" s="133"/>
      <c r="IR149" s="46">
        <f t="shared" si="4"/>
        <v>0</v>
      </c>
      <c r="IS149" s="46">
        <f t="shared" si="5"/>
        <v>0</v>
      </c>
    </row>
    <row r="150" spans="1:253" ht="12.75">
      <c r="A150" s="132" t="s">
        <v>98</v>
      </c>
      <c r="B150" s="133"/>
      <c r="C150" s="132"/>
      <c r="D150" s="133"/>
      <c r="E150" s="133"/>
      <c r="F150" s="132" t="s">
        <v>476</v>
      </c>
      <c r="G150" s="133"/>
      <c r="H150" s="133"/>
      <c r="I150" s="133"/>
      <c r="J150" s="133"/>
      <c r="K150" s="133"/>
      <c r="L150" s="132" t="s">
        <v>874</v>
      </c>
      <c r="M150" s="133"/>
      <c r="N150" s="133"/>
      <c r="O150" s="133"/>
      <c r="P150" s="133"/>
      <c r="Q150" s="133"/>
      <c r="R150" s="133"/>
      <c r="S150" s="133"/>
      <c r="T150" s="133"/>
      <c r="U150" s="133"/>
      <c r="V150" s="133"/>
      <c r="W150" s="133"/>
      <c r="X150" s="133"/>
      <c r="Y150" s="133"/>
      <c r="Z150" s="133"/>
      <c r="AA150" s="133"/>
      <c r="AB150" s="133"/>
      <c r="AC150" s="133"/>
      <c r="AD150" s="133"/>
      <c r="AE150" s="133"/>
      <c r="AF150" s="133"/>
      <c r="AG150" s="133"/>
      <c r="AH150" s="133"/>
      <c r="AI150" s="133"/>
      <c r="AJ150" s="133"/>
      <c r="AK150" s="133"/>
      <c r="AL150" s="133"/>
      <c r="AM150" s="133"/>
      <c r="AN150" s="133"/>
      <c r="AO150" s="133"/>
      <c r="AP150" s="133"/>
      <c r="AQ150" s="133"/>
      <c r="AR150" s="133"/>
      <c r="AS150" s="133"/>
      <c r="AT150" s="133"/>
      <c r="AU150" s="133"/>
      <c r="AV150" s="132" t="s">
        <v>1153</v>
      </c>
      <c r="AW150" s="133"/>
      <c r="AX150" s="134">
        <f>'Stavební rozpočet'!F151</f>
        <v>13</v>
      </c>
      <c r="AY150" s="135"/>
      <c r="AZ150" s="135"/>
      <c r="BA150" s="135"/>
      <c r="BB150" s="135"/>
      <c r="BC150" s="134">
        <f>'Stavební rozpočet'!G151</f>
        <v>0</v>
      </c>
      <c r="BD150" s="135"/>
      <c r="BE150" s="135"/>
      <c r="BF150" s="135"/>
      <c r="BG150" s="135"/>
      <c r="BH150" s="135"/>
      <c r="BI150" s="135"/>
      <c r="BJ150" s="135"/>
      <c r="BK150" s="134">
        <f t="shared" si="3"/>
        <v>0</v>
      </c>
      <c r="BL150" s="135"/>
      <c r="BM150" s="135"/>
      <c r="BN150" s="135"/>
      <c r="BO150" s="135"/>
      <c r="BP150" s="135"/>
      <c r="BQ150" s="135"/>
      <c r="BR150" s="135"/>
      <c r="BS150" s="132" t="s">
        <v>1177</v>
      </c>
      <c r="BT150" s="133"/>
      <c r="BU150" s="133"/>
      <c r="BV150" s="133"/>
      <c r="BW150" s="133"/>
      <c r="BX150" s="133"/>
      <c r="IR150" s="46">
        <f t="shared" si="4"/>
        <v>0</v>
      </c>
      <c r="IS150" s="46">
        <f t="shared" si="5"/>
        <v>0</v>
      </c>
    </row>
    <row r="151" spans="1:253" ht="12.75">
      <c r="A151" s="132" t="s">
        <v>99</v>
      </c>
      <c r="B151" s="133"/>
      <c r="C151" s="132"/>
      <c r="D151" s="133"/>
      <c r="E151" s="133"/>
      <c r="F151" s="132" t="s">
        <v>477</v>
      </c>
      <c r="G151" s="133"/>
      <c r="H151" s="133"/>
      <c r="I151" s="133"/>
      <c r="J151" s="133"/>
      <c r="K151" s="133"/>
      <c r="L151" s="132" t="s">
        <v>875</v>
      </c>
      <c r="M151" s="133"/>
      <c r="N151" s="133"/>
      <c r="O151" s="133"/>
      <c r="P151" s="133"/>
      <c r="Q151" s="133"/>
      <c r="R151" s="133"/>
      <c r="S151" s="133"/>
      <c r="T151" s="133"/>
      <c r="U151" s="133"/>
      <c r="V151" s="133"/>
      <c r="W151" s="133"/>
      <c r="X151" s="133"/>
      <c r="Y151" s="133"/>
      <c r="Z151" s="133"/>
      <c r="AA151" s="133"/>
      <c r="AB151" s="133"/>
      <c r="AC151" s="133"/>
      <c r="AD151" s="133"/>
      <c r="AE151" s="133"/>
      <c r="AF151" s="133"/>
      <c r="AG151" s="133"/>
      <c r="AH151" s="133"/>
      <c r="AI151" s="133"/>
      <c r="AJ151" s="133"/>
      <c r="AK151" s="133"/>
      <c r="AL151" s="133"/>
      <c r="AM151" s="133"/>
      <c r="AN151" s="133"/>
      <c r="AO151" s="133"/>
      <c r="AP151" s="133"/>
      <c r="AQ151" s="133"/>
      <c r="AR151" s="133"/>
      <c r="AS151" s="133"/>
      <c r="AT151" s="133"/>
      <c r="AU151" s="133"/>
      <c r="AV151" s="132" t="s">
        <v>1153</v>
      </c>
      <c r="AW151" s="133"/>
      <c r="AX151" s="134">
        <f>'Stavební rozpočet'!F152</f>
        <v>2</v>
      </c>
      <c r="AY151" s="135"/>
      <c r="AZ151" s="135"/>
      <c r="BA151" s="135"/>
      <c r="BB151" s="135"/>
      <c r="BC151" s="134">
        <f>'Stavební rozpočet'!G152</f>
        <v>0</v>
      </c>
      <c r="BD151" s="135"/>
      <c r="BE151" s="135"/>
      <c r="BF151" s="135"/>
      <c r="BG151" s="135"/>
      <c r="BH151" s="135"/>
      <c r="BI151" s="135"/>
      <c r="BJ151" s="135"/>
      <c r="BK151" s="134">
        <f t="shared" si="3"/>
        <v>0</v>
      </c>
      <c r="BL151" s="135"/>
      <c r="BM151" s="135"/>
      <c r="BN151" s="135"/>
      <c r="BO151" s="135"/>
      <c r="BP151" s="135"/>
      <c r="BQ151" s="135"/>
      <c r="BR151" s="135"/>
      <c r="BS151" s="132" t="s">
        <v>1177</v>
      </c>
      <c r="BT151" s="133"/>
      <c r="BU151" s="133"/>
      <c r="BV151" s="133"/>
      <c r="BW151" s="133"/>
      <c r="BX151" s="133"/>
      <c r="IR151" s="46">
        <f t="shared" si="4"/>
        <v>0</v>
      </c>
      <c r="IS151" s="46">
        <f t="shared" si="5"/>
        <v>0</v>
      </c>
    </row>
    <row r="152" spans="1:253" ht="12.75">
      <c r="A152" s="132" t="s">
        <v>100</v>
      </c>
      <c r="B152" s="133"/>
      <c r="C152" s="132"/>
      <c r="D152" s="133"/>
      <c r="E152" s="133"/>
      <c r="F152" s="132" t="s">
        <v>478</v>
      </c>
      <c r="G152" s="133"/>
      <c r="H152" s="133"/>
      <c r="I152" s="133"/>
      <c r="J152" s="133"/>
      <c r="K152" s="133"/>
      <c r="L152" s="132" t="s">
        <v>876</v>
      </c>
      <c r="M152" s="133"/>
      <c r="N152" s="133"/>
      <c r="O152" s="133"/>
      <c r="P152" s="133"/>
      <c r="Q152" s="133"/>
      <c r="R152" s="133"/>
      <c r="S152" s="133"/>
      <c r="T152" s="133"/>
      <c r="U152" s="133"/>
      <c r="V152" s="133"/>
      <c r="W152" s="133"/>
      <c r="X152" s="133"/>
      <c r="Y152" s="133"/>
      <c r="Z152" s="133"/>
      <c r="AA152" s="133"/>
      <c r="AB152" s="133"/>
      <c r="AC152" s="133"/>
      <c r="AD152" s="133"/>
      <c r="AE152" s="133"/>
      <c r="AF152" s="133"/>
      <c r="AG152" s="133"/>
      <c r="AH152" s="133"/>
      <c r="AI152" s="133"/>
      <c r="AJ152" s="133"/>
      <c r="AK152" s="133"/>
      <c r="AL152" s="133"/>
      <c r="AM152" s="133"/>
      <c r="AN152" s="133"/>
      <c r="AO152" s="133"/>
      <c r="AP152" s="133"/>
      <c r="AQ152" s="133"/>
      <c r="AR152" s="133"/>
      <c r="AS152" s="133"/>
      <c r="AT152" s="133"/>
      <c r="AU152" s="133"/>
      <c r="AV152" s="132" t="s">
        <v>1153</v>
      </c>
      <c r="AW152" s="133"/>
      <c r="AX152" s="134">
        <f>'Stavební rozpočet'!F153</f>
        <v>2</v>
      </c>
      <c r="AY152" s="135"/>
      <c r="AZ152" s="135"/>
      <c r="BA152" s="135"/>
      <c r="BB152" s="135"/>
      <c r="BC152" s="134">
        <f>'Stavební rozpočet'!G153</f>
        <v>0</v>
      </c>
      <c r="BD152" s="135"/>
      <c r="BE152" s="135"/>
      <c r="BF152" s="135"/>
      <c r="BG152" s="135"/>
      <c r="BH152" s="135"/>
      <c r="BI152" s="135"/>
      <c r="BJ152" s="135"/>
      <c r="BK152" s="134">
        <f t="shared" si="3"/>
        <v>0</v>
      </c>
      <c r="BL152" s="135"/>
      <c r="BM152" s="135"/>
      <c r="BN152" s="135"/>
      <c r="BO152" s="135"/>
      <c r="BP152" s="135"/>
      <c r="BQ152" s="135"/>
      <c r="BR152" s="135"/>
      <c r="BS152" s="132" t="s">
        <v>1177</v>
      </c>
      <c r="BT152" s="133"/>
      <c r="BU152" s="133"/>
      <c r="BV152" s="133"/>
      <c r="BW152" s="133"/>
      <c r="BX152" s="133"/>
      <c r="IR152" s="46">
        <f t="shared" si="4"/>
        <v>0</v>
      </c>
      <c r="IS152" s="46">
        <f t="shared" si="5"/>
        <v>0</v>
      </c>
    </row>
    <row r="153" spans="1:253" ht="12.75">
      <c r="A153" s="132" t="s">
        <v>101</v>
      </c>
      <c r="B153" s="133"/>
      <c r="C153" s="132"/>
      <c r="D153" s="133"/>
      <c r="E153" s="133"/>
      <c r="F153" s="132" t="s">
        <v>479</v>
      </c>
      <c r="G153" s="133"/>
      <c r="H153" s="133"/>
      <c r="I153" s="133"/>
      <c r="J153" s="133"/>
      <c r="K153" s="133"/>
      <c r="L153" s="132" t="s">
        <v>877</v>
      </c>
      <c r="M153" s="133"/>
      <c r="N153" s="133"/>
      <c r="O153" s="133"/>
      <c r="P153" s="133"/>
      <c r="Q153" s="133"/>
      <c r="R153" s="133"/>
      <c r="S153" s="133"/>
      <c r="T153" s="133"/>
      <c r="U153" s="133"/>
      <c r="V153" s="133"/>
      <c r="W153" s="133"/>
      <c r="X153" s="133"/>
      <c r="Y153" s="133"/>
      <c r="Z153" s="133"/>
      <c r="AA153" s="133"/>
      <c r="AB153" s="133"/>
      <c r="AC153" s="133"/>
      <c r="AD153" s="133"/>
      <c r="AE153" s="133"/>
      <c r="AF153" s="133"/>
      <c r="AG153" s="133"/>
      <c r="AH153" s="133"/>
      <c r="AI153" s="133"/>
      <c r="AJ153" s="133"/>
      <c r="AK153" s="133"/>
      <c r="AL153" s="133"/>
      <c r="AM153" s="133"/>
      <c r="AN153" s="133"/>
      <c r="AO153" s="133"/>
      <c r="AP153" s="133"/>
      <c r="AQ153" s="133"/>
      <c r="AR153" s="133"/>
      <c r="AS153" s="133"/>
      <c r="AT153" s="133"/>
      <c r="AU153" s="133"/>
      <c r="AV153" s="132" t="s">
        <v>1153</v>
      </c>
      <c r="AW153" s="133"/>
      <c r="AX153" s="134">
        <f>'Stavební rozpočet'!F154</f>
        <v>2</v>
      </c>
      <c r="AY153" s="135"/>
      <c r="AZ153" s="135"/>
      <c r="BA153" s="135"/>
      <c r="BB153" s="135"/>
      <c r="BC153" s="134">
        <f>'Stavební rozpočet'!G154</f>
        <v>0</v>
      </c>
      <c r="BD153" s="135"/>
      <c r="BE153" s="135"/>
      <c r="BF153" s="135"/>
      <c r="BG153" s="135"/>
      <c r="BH153" s="135"/>
      <c r="BI153" s="135"/>
      <c r="BJ153" s="135"/>
      <c r="BK153" s="134">
        <f t="shared" si="3"/>
        <v>0</v>
      </c>
      <c r="BL153" s="135"/>
      <c r="BM153" s="135"/>
      <c r="BN153" s="135"/>
      <c r="BO153" s="135"/>
      <c r="BP153" s="135"/>
      <c r="BQ153" s="135"/>
      <c r="BR153" s="135"/>
      <c r="BS153" s="132" t="s">
        <v>1177</v>
      </c>
      <c r="BT153" s="133"/>
      <c r="BU153" s="133"/>
      <c r="BV153" s="133"/>
      <c r="BW153" s="133"/>
      <c r="BX153" s="133"/>
      <c r="IR153" s="46">
        <f t="shared" si="4"/>
        <v>0</v>
      </c>
      <c r="IS153" s="46">
        <f t="shared" si="5"/>
        <v>0</v>
      </c>
    </row>
    <row r="154" spans="1:253" ht="12.75">
      <c r="A154" s="132" t="s">
        <v>102</v>
      </c>
      <c r="B154" s="133"/>
      <c r="C154" s="132"/>
      <c r="D154" s="133"/>
      <c r="E154" s="133"/>
      <c r="F154" s="132" t="s">
        <v>480</v>
      </c>
      <c r="G154" s="133"/>
      <c r="H154" s="133"/>
      <c r="I154" s="133"/>
      <c r="J154" s="133"/>
      <c r="K154" s="133"/>
      <c r="L154" s="132" t="s">
        <v>878</v>
      </c>
      <c r="M154" s="133"/>
      <c r="N154" s="133"/>
      <c r="O154" s="133"/>
      <c r="P154" s="133"/>
      <c r="Q154" s="133"/>
      <c r="R154" s="133"/>
      <c r="S154" s="133"/>
      <c r="T154" s="133"/>
      <c r="U154" s="133"/>
      <c r="V154" s="133"/>
      <c r="W154" s="133"/>
      <c r="X154" s="133"/>
      <c r="Y154" s="133"/>
      <c r="Z154" s="133"/>
      <c r="AA154" s="133"/>
      <c r="AB154" s="133"/>
      <c r="AC154" s="133"/>
      <c r="AD154" s="133"/>
      <c r="AE154" s="133"/>
      <c r="AF154" s="133"/>
      <c r="AG154" s="133"/>
      <c r="AH154" s="133"/>
      <c r="AI154" s="133"/>
      <c r="AJ154" s="133"/>
      <c r="AK154" s="133"/>
      <c r="AL154" s="133"/>
      <c r="AM154" s="133"/>
      <c r="AN154" s="133"/>
      <c r="AO154" s="133"/>
      <c r="AP154" s="133"/>
      <c r="AQ154" s="133"/>
      <c r="AR154" s="133"/>
      <c r="AS154" s="133"/>
      <c r="AT154" s="133"/>
      <c r="AU154" s="133"/>
      <c r="AV154" s="132" t="s">
        <v>1153</v>
      </c>
      <c r="AW154" s="133"/>
      <c r="AX154" s="134">
        <f>'Stavební rozpočet'!F155</f>
        <v>1</v>
      </c>
      <c r="AY154" s="135"/>
      <c r="AZ154" s="135"/>
      <c r="BA154" s="135"/>
      <c r="BB154" s="135"/>
      <c r="BC154" s="134">
        <f>'Stavební rozpočet'!G155</f>
        <v>0</v>
      </c>
      <c r="BD154" s="135"/>
      <c r="BE154" s="135"/>
      <c r="BF154" s="135"/>
      <c r="BG154" s="135"/>
      <c r="BH154" s="135"/>
      <c r="BI154" s="135"/>
      <c r="BJ154" s="135"/>
      <c r="BK154" s="134">
        <f t="shared" si="3"/>
        <v>0</v>
      </c>
      <c r="BL154" s="135"/>
      <c r="BM154" s="135"/>
      <c r="BN154" s="135"/>
      <c r="BO154" s="135"/>
      <c r="BP154" s="135"/>
      <c r="BQ154" s="135"/>
      <c r="BR154" s="135"/>
      <c r="BS154" s="132" t="s">
        <v>1177</v>
      </c>
      <c r="BT154" s="133"/>
      <c r="BU154" s="133"/>
      <c r="BV154" s="133"/>
      <c r="BW154" s="133"/>
      <c r="BX154" s="133"/>
      <c r="IR154" s="46">
        <f t="shared" si="4"/>
        <v>0</v>
      </c>
      <c r="IS154" s="46">
        <f t="shared" si="5"/>
        <v>0</v>
      </c>
    </row>
    <row r="155" spans="1:253" ht="12.75">
      <c r="A155" s="132" t="s">
        <v>103</v>
      </c>
      <c r="B155" s="133"/>
      <c r="C155" s="132"/>
      <c r="D155" s="133"/>
      <c r="E155" s="133"/>
      <c r="F155" s="132" t="s">
        <v>481</v>
      </c>
      <c r="G155" s="133"/>
      <c r="H155" s="133"/>
      <c r="I155" s="133"/>
      <c r="J155" s="133"/>
      <c r="K155" s="133"/>
      <c r="L155" s="132" t="s">
        <v>879</v>
      </c>
      <c r="M155" s="133"/>
      <c r="N155" s="133"/>
      <c r="O155" s="133"/>
      <c r="P155" s="133"/>
      <c r="Q155" s="133"/>
      <c r="R155" s="133"/>
      <c r="S155" s="133"/>
      <c r="T155" s="133"/>
      <c r="U155" s="133"/>
      <c r="V155" s="133"/>
      <c r="W155" s="133"/>
      <c r="X155" s="133"/>
      <c r="Y155" s="133"/>
      <c r="Z155" s="133"/>
      <c r="AA155" s="133"/>
      <c r="AB155" s="133"/>
      <c r="AC155" s="133"/>
      <c r="AD155" s="133"/>
      <c r="AE155" s="133"/>
      <c r="AF155" s="133"/>
      <c r="AG155" s="133"/>
      <c r="AH155" s="133"/>
      <c r="AI155" s="133"/>
      <c r="AJ155" s="133"/>
      <c r="AK155" s="133"/>
      <c r="AL155" s="133"/>
      <c r="AM155" s="133"/>
      <c r="AN155" s="133"/>
      <c r="AO155" s="133"/>
      <c r="AP155" s="133"/>
      <c r="AQ155" s="133"/>
      <c r="AR155" s="133"/>
      <c r="AS155" s="133"/>
      <c r="AT155" s="133"/>
      <c r="AU155" s="133"/>
      <c r="AV155" s="132" t="s">
        <v>1153</v>
      </c>
      <c r="AW155" s="133"/>
      <c r="AX155" s="134">
        <f>'Stavební rozpočet'!F156</f>
        <v>3</v>
      </c>
      <c r="AY155" s="135"/>
      <c r="AZ155" s="135"/>
      <c r="BA155" s="135"/>
      <c r="BB155" s="135"/>
      <c r="BC155" s="134">
        <f>'Stavební rozpočet'!G156</f>
        <v>0</v>
      </c>
      <c r="BD155" s="135"/>
      <c r="BE155" s="135"/>
      <c r="BF155" s="135"/>
      <c r="BG155" s="135"/>
      <c r="BH155" s="135"/>
      <c r="BI155" s="135"/>
      <c r="BJ155" s="135"/>
      <c r="BK155" s="134">
        <f t="shared" si="3"/>
        <v>0</v>
      </c>
      <c r="BL155" s="135"/>
      <c r="BM155" s="135"/>
      <c r="BN155" s="135"/>
      <c r="BO155" s="135"/>
      <c r="BP155" s="135"/>
      <c r="BQ155" s="135"/>
      <c r="BR155" s="135"/>
      <c r="BS155" s="132" t="s">
        <v>1177</v>
      </c>
      <c r="BT155" s="133"/>
      <c r="BU155" s="133"/>
      <c r="BV155" s="133"/>
      <c r="BW155" s="133"/>
      <c r="BX155" s="133"/>
      <c r="IR155" s="46">
        <f t="shared" si="4"/>
        <v>0</v>
      </c>
      <c r="IS155" s="46">
        <f t="shared" si="5"/>
        <v>0</v>
      </c>
    </row>
    <row r="156" spans="1:253" ht="12.75">
      <c r="A156" s="132" t="s">
        <v>104</v>
      </c>
      <c r="B156" s="133"/>
      <c r="C156" s="132"/>
      <c r="D156" s="133"/>
      <c r="E156" s="133"/>
      <c r="F156" s="132" t="s">
        <v>482</v>
      </c>
      <c r="G156" s="133"/>
      <c r="H156" s="133"/>
      <c r="I156" s="133"/>
      <c r="J156" s="133"/>
      <c r="K156" s="133"/>
      <c r="L156" s="132" t="s">
        <v>880</v>
      </c>
      <c r="M156" s="133"/>
      <c r="N156" s="133"/>
      <c r="O156" s="133"/>
      <c r="P156" s="133"/>
      <c r="Q156" s="133"/>
      <c r="R156" s="133"/>
      <c r="S156" s="133"/>
      <c r="T156" s="133"/>
      <c r="U156" s="133"/>
      <c r="V156" s="133"/>
      <c r="W156" s="133"/>
      <c r="X156" s="133"/>
      <c r="Y156" s="133"/>
      <c r="Z156" s="133"/>
      <c r="AA156" s="133"/>
      <c r="AB156" s="133"/>
      <c r="AC156" s="133"/>
      <c r="AD156" s="133"/>
      <c r="AE156" s="133"/>
      <c r="AF156" s="133"/>
      <c r="AG156" s="133"/>
      <c r="AH156" s="133"/>
      <c r="AI156" s="133"/>
      <c r="AJ156" s="133"/>
      <c r="AK156" s="133"/>
      <c r="AL156" s="133"/>
      <c r="AM156" s="133"/>
      <c r="AN156" s="133"/>
      <c r="AO156" s="133"/>
      <c r="AP156" s="133"/>
      <c r="AQ156" s="133"/>
      <c r="AR156" s="133"/>
      <c r="AS156" s="133"/>
      <c r="AT156" s="133"/>
      <c r="AU156" s="133"/>
      <c r="AV156" s="132" t="s">
        <v>1153</v>
      </c>
      <c r="AW156" s="133"/>
      <c r="AX156" s="134">
        <f>'Stavební rozpočet'!F157</f>
        <v>1</v>
      </c>
      <c r="AY156" s="135"/>
      <c r="AZ156" s="135"/>
      <c r="BA156" s="135"/>
      <c r="BB156" s="135"/>
      <c r="BC156" s="134">
        <f>'Stavební rozpočet'!G157</f>
        <v>0</v>
      </c>
      <c r="BD156" s="135"/>
      <c r="BE156" s="135"/>
      <c r="BF156" s="135"/>
      <c r="BG156" s="135"/>
      <c r="BH156" s="135"/>
      <c r="BI156" s="135"/>
      <c r="BJ156" s="135"/>
      <c r="BK156" s="134">
        <f t="shared" si="3"/>
        <v>0</v>
      </c>
      <c r="BL156" s="135"/>
      <c r="BM156" s="135"/>
      <c r="BN156" s="135"/>
      <c r="BO156" s="135"/>
      <c r="BP156" s="135"/>
      <c r="BQ156" s="135"/>
      <c r="BR156" s="135"/>
      <c r="BS156" s="132" t="s">
        <v>1177</v>
      </c>
      <c r="BT156" s="133"/>
      <c r="BU156" s="133"/>
      <c r="BV156" s="133"/>
      <c r="BW156" s="133"/>
      <c r="BX156" s="133"/>
      <c r="IR156" s="46">
        <f t="shared" si="4"/>
        <v>0</v>
      </c>
      <c r="IS156" s="46">
        <f t="shared" si="5"/>
        <v>0</v>
      </c>
    </row>
    <row r="157" spans="1:253" ht="12.75">
      <c r="A157" s="132" t="s">
        <v>105</v>
      </c>
      <c r="B157" s="133"/>
      <c r="C157" s="132"/>
      <c r="D157" s="133"/>
      <c r="E157" s="133"/>
      <c r="F157" s="132" t="s">
        <v>483</v>
      </c>
      <c r="G157" s="133"/>
      <c r="H157" s="133"/>
      <c r="I157" s="133"/>
      <c r="J157" s="133"/>
      <c r="K157" s="133"/>
      <c r="L157" s="132" t="s">
        <v>881</v>
      </c>
      <c r="M157" s="133"/>
      <c r="N157" s="133"/>
      <c r="O157" s="133"/>
      <c r="P157" s="133"/>
      <c r="Q157" s="133"/>
      <c r="R157" s="133"/>
      <c r="S157" s="133"/>
      <c r="T157" s="133"/>
      <c r="U157" s="133"/>
      <c r="V157" s="133"/>
      <c r="W157" s="133"/>
      <c r="X157" s="133"/>
      <c r="Y157" s="133"/>
      <c r="Z157" s="133"/>
      <c r="AA157" s="133"/>
      <c r="AB157" s="133"/>
      <c r="AC157" s="133"/>
      <c r="AD157" s="133"/>
      <c r="AE157" s="133"/>
      <c r="AF157" s="133"/>
      <c r="AG157" s="133"/>
      <c r="AH157" s="133"/>
      <c r="AI157" s="133"/>
      <c r="AJ157" s="133"/>
      <c r="AK157" s="133"/>
      <c r="AL157" s="133"/>
      <c r="AM157" s="133"/>
      <c r="AN157" s="133"/>
      <c r="AO157" s="133"/>
      <c r="AP157" s="133"/>
      <c r="AQ157" s="133"/>
      <c r="AR157" s="133"/>
      <c r="AS157" s="133"/>
      <c r="AT157" s="133"/>
      <c r="AU157" s="133"/>
      <c r="AV157" s="132" t="s">
        <v>1153</v>
      </c>
      <c r="AW157" s="133"/>
      <c r="AX157" s="134">
        <f>'Stavební rozpočet'!F158</f>
        <v>1</v>
      </c>
      <c r="AY157" s="135"/>
      <c r="AZ157" s="135"/>
      <c r="BA157" s="135"/>
      <c r="BB157" s="135"/>
      <c r="BC157" s="134">
        <f>'Stavební rozpočet'!G158</f>
        <v>0</v>
      </c>
      <c r="BD157" s="135"/>
      <c r="BE157" s="135"/>
      <c r="BF157" s="135"/>
      <c r="BG157" s="135"/>
      <c r="BH157" s="135"/>
      <c r="BI157" s="135"/>
      <c r="BJ157" s="135"/>
      <c r="BK157" s="134">
        <f t="shared" si="3"/>
        <v>0</v>
      </c>
      <c r="BL157" s="135"/>
      <c r="BM157" s="135"/>
      <c r="BN157" s="135"/>
      <c r="BO157" s="135"/>
      <c r="BP157" s="135"/>
      <c r="BQ157" s="135"/>
      <c r="BR157" s="135"/>
      <c r="BS157" s="132" t="s">
        <v>1177</v>
      </c>
      <c r="BT157" s="133"/>
      <c r="BU157" s="133"/>
      <c r="BV157" s="133"/>
      <c r="BW157" s="133"/>
      <c r="BX157" s="133"/>
      <c r="IR157" s="46">
        <f t="shared" si="4"/>
        <v>0</v>
      </c>
      <c r="IS157" s="46">
        <f t="shared" si="5"/>
        <v>0</v>
      </c>
    </row>
    <row r="158" spans="1:253" ht="12.75">
      <c r="A158" s="132" t="s">
        <v>106</v>
      </c>
      <c r="B158" s="133"/>
      <c r="C158" s="132"/>
      <c r="D158" s="133"/>
      <c r="E158" s="133"/>
      <c r="F158" s="132" t="s">
        <v>484</v>
      </c>
      <c r="G158" s="133"/>
      <c r="H158" s="133"/>
      <c r="I158" s="133"/>
      <c r="J158" s="133"/>
      <c r="K158" s="133"/>
      <c r="L158" s="132" t="s">
        <v>882</v>
      </c>
      <c r="M158" s="133"/>
      <c r="N158" s="133"/>
      <c r="O158" s="133"/>
      <c r="P158" s="133"/>
      <c r="Q158" s="133"/>
      <c r="R158" s="133"/>
      <c r="S158" s="133"/>
      <c r="T158" s="133"/>
      <c r="U158" s="133"/>
      <c r="V158" s="133"/>
      <c r="W158" s="133"/>
      <c r="X158" s="133"/>
      <c r="Y158" s="133"/>
      <c r="Z158" s="133"/>
      <c r="AA158" s="133"/>
      <c r="AB158" s="133"/>
      <c r="AC158" s="133"/>
      <c r="AD158" s="133"/>
      <c r="AE158" s="133"/>
      <c r="AF158" s="133"/>
      <c r="AG158" s="133"/>
      <c r="AH158" s="133"/>
      <c r="AI158" s="133"/>
      <c r="AJ158" s="133"/>
      <c r="AK158" s="133"/>
      <c r="AL158" s="133"/>
      <c r="AM158" s="133"/>
      <c r="AN158" s="133"/>
      <c r="AO158" s="133"/>
      <c r="AP158" s="133"/>
      <c r="AQ158" s="133"/>
      <c r="AR158" s="133"/>
      <c r="AS158" s="133"/>
      <c r="AT158" s="133"/>
      <c r="AU158" s="133"/>
      <c r="AV158" s="132" t="s">
        <v>1153</v>
      </c>
      <c r="AW158" s="133"/>
      <c r="AX158" s="134">
        <f>'Stavební rozpočet'!F159</f>
        <v>1</v>
      </c>
      <c r="AY158" s="135"/>
      <c r="AZ158" s="135"/>
      <c r="BA158" s="135"/>
      <c r="BB158" s="135"/>
      <c r="BC158" s="134">
        <f>'Stavební rozpočet'!G159</f>
        <v>0</v>
      </c>
      <c r="BD158" s="135"/>
      <c r="BE158" s="135"/>
      <c r="BF158" s="135"/>
      <c r="BG158" s="135"/>
      <c r="BH158" s="135"/>
      <c r="BI158" s="135"/>
      <c r="BJ158" s="135"/>
      <c r="BK158" s="134">
        <f t="shared" si="3"/>
        <v>0</v>
      </c>
      <c r="BL158" s="135"/>
      <c r="BM158" s="135"/>
      <c r="BN158" s="135"/>
      <c r="BO158" s="135"/>
      <c r="BP158" s="135"/>
      <c r="BQ158" s="135"/>
      <c r="BR158" s="135"/>
      <c r="BS158" s="132" t="s">
        <v>1177</v>
      </c>
      <c r="BT158" s="133"/>
      <c r="BU158" s="133"/>
      <c r="BV158" s="133"/>
      <c r="BW158" s="133"/>
      <c r="BX158" s="133"/>
      <c r="IR158" s="46">
        <f t="shared" si="4"/>
        <v>0</v>
      </c>
      <c r="IS158" s="46">
        <f t="shared" si="5"/>
        <v>0</v>
      </c>
    </row>
    <row r="159" spans="1:253" ht="12.75">
      <c r="A159" s="132" t="s">
        <v>107</v>
      </c>
      <c r="B159" s="133"/>
      <c r="C159" s="132"/>
      <c r="D159" s="133"/>
      <c r="E159" s="133"/>
      <c r="F159" s="132" t="s">
        <v>485</v>
      </c>
      <c r="G159" s="133"/>
      <c r="H159" s="133"/>
      <c r="I159" s="133"/>
      <c r="J159" s="133"/>
      <c r="K159" s="133"/>
      <c r="L159" s="132" t="s">
        <v>883</v>
      </c>
      <c r="M159" s="133"/>
      <c r="N159" s="133"/>
      <c r="O159" s="133"/>
      <c r="P159" s="133"/>
      <c r="Q159" s="133"/>
      <c r="R159" s="133"/>
      <c r="S159" s="133"/>
      <c r="T159" s="133"/>
      <c r="U159" s="133"/>
      <c r="V159" s="133"/>
      <c r="W159" s="133"/>
      <c r="X159" s="133"/>
      <c r="Y159" s="133"/>
      <c r="Z159" s="133"/>
      <c r="AA159" s="133"/>
      <c r="AB159" s="133"/>
      <c r="AC159" s="133"/>
      <c r="AD159" s="133"/>
      <c r="AE159" s="133"/>
      <c r="AF159" s="133"/>
      <c r="AG159" s="133"/>
      <c r="AH159" s="133"/>
      <c r="AI159" s="133"/>
      <c r="AJ159" s="133"/>
      <c r="AK159" s="133"/>
      <c r="AL159" s="133"/>
      <c r="AM159" s="133"/>
      <c r="AN159" s="133"/>
      <c r="AO159" s="133"/>
      <c r="AP159" s="133"/>
      <c r="AQ159" s="133"/>
      <c r="AR159" s="133"/>
      <c r="AS159" s="133"/>
      <c r="AT159" s="133"/>
      <c r="AU159" s="133"/>
      <c r="AV159" s="132" t="s">
        <v>1153</v>
      </c>
      <c r="AW159" s="133"/>
      <c r="AX159" s="134">
        <f>'Stavební rozpočet'!F160</f>
        <v>3</v>
      </c>
      <c r="AY159" s="135"/>
      <c r="AZ159" s="135"/>
      <c r="BA159" s="135"/>
      <c r="BB159" s="135"/>
      <c r="BC159" s="134">
        <f>'Stavební rozpočet'!G160</f>
        <v>0</v>
      </c>
      <c r="BD159" s="135"/>
      <c r="BE159" s="135"/>
      <c r="BF159" s="135"/>
      <c r="BG159" s="135"/>
      <c r="BH159" s="135"/>
      <c r="BI159" s="135"/>
      <c r="BJ159" s="135"/>
      <c r="BK159" s="134">
        <f t="shared" si="3"/>
        <v>0</v>
      </c>
      <c r="BL159" s="135"/>
      <c r="BM159" s="135"/>
      <c r="BN159" s="135"/>
      <c r="BO159" s="135"/>
      <c r="BP159" s="135"/>
      <c r="BQ159" s="135"/>
      <c r="BR159" s="135"/>
      <c r="BS159" s="132" t="s">
        <v>1177</v>
      </c>
      <c r="BT159" s="133"/>
      <c r="BU159" s="133"/>
      <c r="BV159" s="133"/>
      <c r="BW159" s="133"/>
      <c r="BX159" s="133"/>
      <c r="IR159" s="46">
        <f t="shared" si="4"/>
        <v>0</v>
      </c>
      <c r="IS159" s="46">
        <f t="shared" si="5"/>
        <v>0</v>
      </c>
    </row>
    <row r="160" spans="1:253" ht="12.75">
      <c r="A160" s="132" t="s">
        <v>108</v>
      </c>
      <c r="B160" s="133"/>
      <c r="C160" s="132"/>
      <c r="D160" s="133"/>
      <c r="E160" s="133"/>
      <c r="F160" s="132" t="s">
        <v>486</v>
      </c>
      <c r="G160" s="133"/>
      <c r="H160" s="133"/>
      <c r="I160" s="133"/>
      <c r="J160" s="133"/>
      <c r="K160" s="133"/>
      <c r="L160" s="132" t="s">
        <v>884</v>
      </c>
      <c r="M160" s="133"/>
      <c r="N160" s="133"/>
      <c r="O160" s="133"/>
      <c r="P160" s="133"/>
      <c r="Q160" s="133"/>
      <c r="R160" s="133"/>
      <c r="S160" s="133"/>
      <c r="T160" s="133"/>
      <c r="U160" s="133"/>
      <c r="V160" s="133"/>
      <c r="W160" s="133"/>
      <c r="X160" s="133"/>
      <c r="Y160" s="133"/>
      <c r="Z160" s="133"/>
      <c r="AA160" s="133"/>
      <c r="AB160" s="133"/>
      <c r="AC160" s="133"/>
      <c r="AD160" s="133"/>
      <c r="AE160" s="133"/>
      <c r="AF160" s="133"/>
      <c r="AG160" s="133"/>
      <c r="AH160" s="133"/>
      <c r="AI160" s="133"/>
      <c r="AJ160" s="133"/>
      <c r="AK160" s="133"/>
      <c r="AL160" s="133"/>
      <c r="AM160" s="133"/>
      <c r="AN160" s="133"/>
      <c r="AO160" s="133"/>
      <c r="AP160" s="133"/>
      <c r="AQ160" s="133"/>
      <c r="AR160" s="133"/>
      <c r="AS160" s="133"/>
      <c r="AT160" s="133"/>
      <c r="AU160" s="133"/>
      <c r="AV160" s="132" t="s">
        <v>1153</v>
      </c>
      <c r="AW160" s="133"/>
      <c r="AX160" s="134">
        <f>'Stavební rozpočet'!F161</f>
        <v>1</v>
      </c>
      <c r="AY160" s="135"/>
      <c r="AZ160" s="135"/>
      <c r="BA160" s="135"/>
      <c r="BB160" s="135"/>
      <c r="BC160" s="134">
        <f>'Stavební rozpočet'!G161</f>
        <v>0</v>
      </c>
      <c r="BD160" s="135"/>
      <c r="BE160" s="135"/>
      <c r="BF160" s="135"/>
      <c r="BG160" s="135"/>
      <c r="BH160" s="135"/>
      <c r="BI160" s="135"/>
      <c r="BJ160" s="135"/>
      <c r="BK160" s="134">
        <f t="shared" si="3"/>
        <v>0</v>
      </c>
      <c r="BL160" s="135"/>
      <c r="BM160" s="135"/>
      <c r="BN160" s="135"/>
      <c r="BO160" s="135"/>
      <c r="BP160" s="135"/>
      <c r="BQ160" s="135"/>
      <c r="BR160" s="135"/>
      <c r="BS160" s="132" t="s">
        <v>1177</v>
      </c>
      <c r="BT160" s="133"/>
      <c r="BU160" s="133"/>
      <c r="BV160" s="133"/>
      <c r="BW160" s="133"/>
      <c r="BX160" s="133"/>
      <c r="IR160" s="46">
        <f t="shared" si="4"/>
        <v>0</v>
      </c>
      <c r="IS160" s="46">
        <f t="shared" si="5"/>
        <v>0</v>
      </c>
    </row>
    <row r="161" spans="1:253" ht="12.75">
      <c r="A161" s="132" t="s">
        <v>109</v>
      </c>
      <c r="B161" s="133"/>
      <c r="C161" s="132"/>
      <c r="D161" s="133"/>
      <c r="E161" s="133"/>
      <c r="F161" s="132" t="s">
        <v>487</v>
      </c>
      <c r="G161" s="133"/>
      <c r="H161" s="133"/>
      <c r="I161" s="133"/>
      <c r="J161" s="133"/>
      <c r="K161" s="133"/>
      <c r="L161" s="132" t="s">
        <v>885</v>
      </c>
      <c r="M161" s="133"/>
      <c r="N161" s="133"/>
      <c r="O161" s="133"/>
      <c r="P161" s="133"/>
      <c r="Q161" s="133"/>
      <c r="R161" s="133"/>
      <c r="S161" s="133"/>
      <c r="T161" s="133"/>
      <c r="U161" s="133"/>
      <c r="V161" s="133"/>
      <c r="W161" s="133"/>
      <c r="X161" s="133"/>
      <c r="Y161" s="133"/>
      <c r="Z161" s="133"/>
      <c r="AA161" s="133"/>
      <c r="AB161" s="133"/>
      <c r="AC161" s="133"/>
      <c r="AD161" s="133"/>
      <c r="AE161" s="133"/>
      <c r="AF161" s="133"/>
      <c r="AG161" s="133"/>
      <c r="AH161" s="133"/>
      <c r="AI161" s="133"/>
      <c r="AJ161" s="133"/>
      <c r="AK161" s="133"/>
      <c r="AL161" s="133"/>
      <c r="AM161" s="133"/>
      <c r="AN161" s="133"/>
      <c r="AO161" s="133"/>
      <c r="AP161" s="133"/>
      <c r="AQ161" s="133"/>
      <c r="AR161" s="133"/>
      <c r="AS161" s="133"/>
      <c r="AT161" s="133"/>
      <c r="AU161" s="133"/>
      <c r="AV161" s="132" t="s">
        <v>1153</v>
      </c>
      <c r="AW161" s="133"/>
      <c r="AX161" s="134">
        <f>'Stavební rozpočet'!F162</f>
        <v>1</v>
      </c>
      <c r="AY161" s="135"/>
      <c r="AZ161" s="135"/>
      <c r="BA161" s="135"/>
      <c r="BB161" s="135"/>
      <c r="BC161" s="134">
        <f>'Stavební rozpočet'!G162</f>
        <v>0</v>
      </c>
      <c r="BD161" s="135"/>
      <c r="BE161" s="135"/>
      <c r="BF161" s="135"/>
      <c r="BG161" s="135"/>
      <c r="BH161" s="135"/>
      <c r="BI161" s="135"/>
      <c r="BJ161" s="135"/>
      <c r="BK161" s="134">
        <f t="shared" si="3"/>
        <v>0</v>
      </c>
      <c r="BL161" s="135"/>
      <c r="BM161" s="135"/>
      <c r="BN161" s="135"/>
      <c r="BO161" s="135"/>
      <c r="BP161" s="135"/>
      <c r="BQ161" s="135"/>
      <c r="BR161" s="135"/>
      <c r="BS161" s="132" t="s">
        <v>1177</v>
      </c>
      <c r="BT161" s="133"/>
      <c r="BU161" s="133"/>
      <c r="BV161" s="133"/>
      <c r="BW161" s="133"/>
      <c r="BX161" s="133"/>
      <c r="IR161" s="46">
        <f t="shared" si="4"/>
        <v>0</v>
      </c>
      <c r="IS161" s="46">
        <f t="shared" si="5"/>
        <v>0</v>
      </c>
    </row>
    <row r="162" spans="1:253" ht="12.75">
      <c r="A162" s="132" t="s">
        <v>110</v>
      </c>
      <c r="B162" s="133"/>
      <c r="C162" s="132"/>
      <c r="D162" s="133"/>
      <c r="E162" s="133"/>
      <c r="F162" s="132" t="s">
        <v>488</v>
      </c>
      <c r="G162" s="133"/>
      <c r="H162" s="133"/>
      <c r="I162" s="133"/>
      <c r="J162" s="133"/>
      <c r="K162" s="133"/>
      <c r="L162" s="132" t="s">
        <v>886</v>
      </c>
      <c r="M162" s="133"/>
      <c r="N162" s="133"/>
      <c r="O162" s="133"/>
      <c r="P162" s="133"/>
      <c r="Q162" s="133"/>
      <c r="R162" s="133"/>
      <c r="S162" s="133"/>
      <c r="T162" s="133"/>
      <c r="U162" s="133"/>
      <c r="V162" s="133"/>
      <c r="W162" s="133"/>
      <c r="X162" s="133"/>
      <c r="Y162" s="133"/>
      <c r="Z162" s="133"/>
      <c r="AA162" s="133"/>
      <c r="AB162" s="133"/>
      <c r="AC162" s="133"/>
      <c r="AD162" s="133"/>
      <c r="AE162" s="133"/>
      <c r="AF162" s="133"/>
      <c r="AG162" s="133"/>
      <c r="AH162" s="133"/>
      <c r="AI162" s="133"/>
      <c r="AJ162" s="133"/>
      <c r="AK162" s="133"/>
      <c r="AL162" s="133"/>
      <c r="AM162" s="133"/>
      <c r="AN162" s="133"/>
      <c r="AO162" s="133"/>
      <c r="AP162" s="133"/>
      <c r="AQ162" s="133"/>
      <c r="AR162" s="133"/>
      <c r="AS162" s="133"/>
      <c r="AT162" s="133"/>
      <c r="AU162" s="133"/>
      <c r="AV162" s="132" t="s">
        <v>1153</v>
      </c>
      <c r="AW162" s="133"/>
      <c r="AX162" s="134">
        <f>'Stavební rozpočet'!F163</f>
        <v>1</v>
      </c>
      <c r="AY162" s="135"/>
      <c r="AZ162" s="135"/>
      <c r="BA162" s="135"/>
      <c r="BB162" s="135"/>
      <c r="BC162" s="134">
        <f>'Stavební rozpočet'!G163</f>
        <v>0</v>
      </c>
      <c r="BD162" s="135"/>
      <c r="BE162" s="135"/>
      <c r="BF162" s="135"/>
      <c r="BG162" s="135"/>
      <c r="BH162" s="135"/>
      <c r="BI162" s="135"/>
      <c r="BJ162" s="135"/>
      <c r="BK162" s="134">
        <f t="shared" si="3"/>
        <v>0</v>
      </c>
      <c r="BL162" s="135"/>
      <c r="BM162" s="135"/>
      <c r="BN162" s="135"/>
      <c r="BO162" s="135"/>
      <c r="BP162" s="135"/>
      <c r="BQ162" s="135"/>
      <c r="BR162" s="135"/>
      <c r="BS162" s="132" t="s">
        <v>1177</v>
      </c>
      <c r="BT162" s="133"/>
      <c r="BU162" s="133"/>
      <c r="BV162" s="133"/>
      <c r="BW162" s="133"/>
      <c r="BX162" s="133"/>
      <c r="IR162" s="46">
        <f t="shared" si="4"/>
        <v>0</v>
      </c>
      <c r="IS162" s="46">
        <f t="shared" si="5"/>
        <v>0</v>
      </c>
    </row>
    <row r="163" spans="1:253" ht="12.75">
      <c r="A163" s="132" t="s">
        <v>111</v>
      </c>
      <c r="B163" s="133"/>
      <c r="C163" s="132"/>
      <c r="D163" s="133"/>
      <c r="E163" s="133"/>
      <c r="F163" s="132" t="s">
        <v>489</v>
      </c>
      <c r="G163" s="133"/>
      <c r="H163" s="133"/>
      <c r="I163" s="133"/>
      <c r="J163" s="133"/>
      <c r="K163" s="133"/>
      <c r="L163" s="132" t="s">
        <v>887</v>
      </c>
      <c r="M163" s="133"/>
      <c r="N163" s="133"/>
      <c r="O163" s="133"/>
      <c r="P163" s="133"/>
      <c r="Q163" s="133"/>
      <c r="R163" s="133"/>
      <c r="S163" s="133"/>
      <c r="T163" s="133"/>
      <c r="U163" s="133"/>
      <c r="V163" s="133"/>
      <c r="W163" s="133"/>
      <c r="X163" s="133"/>
      <c r="Y163" s="133"/>
      <c r="Z163" s="133"/>
      <c r="AA163" s="133"/>
      <c r="AB163" s="133"/>
      <c r="AC163" s="133"/>
      <c r="AD163" s="133"/>
      <c r="AE163" s="133"/>
      <c r="AF163" s="133"/>
      <c r="AG163" s="133"/>
      <c r="AH163" s="133"/>
      <c r="AI163" s="133"/>
      <c r="AJ163" s="133"/>
      <c r="AK163" s="133"/>
      <c r="AL163" s="133"/>
      <c r="AM163" s="133"/>
      <c r="AN163" s="133"/>
      <c r="AO163" s="133"/>
      <c r="AP163" s="133"/>
      <c r="AQ163" s="133"/>
      <c r="AR163" s="133"/>
      <c r="AS163" s="133"/>
      <c r="AT163" s="133"/>
      <c r="AU163" s="133"/>
      <c r="AV163" s="132" t="s">
        <v>1153</v>
      </c>
      <c r="AW163" s="133"/>
      <c r="AX163" s="134">
        <f>'Stavební rozpočet'!F164</f>
        <v>1</v>
      </c>
      <c r="AY163" s="135"/>
      <c r="AZ163" s="135"/>
      <c r="BA163" s="135"/>
      <c r="BB163" s="135"/>
      <c r="BC163" s="134">
        <f>'Stavební rozpočet'!G164</f>
        <v>0</v>
      </c>
      <c r="BD163" s="135"/>
      <c r="BE163" s="135"/>
      <c r="BF163" s="135"/>
      <c r="BG163" s="135"/>
      <c r="BH163" s="135"/>
      <c r="BI163" s="135"/>
      <c r="BJ163" s="135"/>
      <c r="BK163" s="134">
        <f t="shared" si="3"/>
        <v>0</v>
      </c>
      <c r="BL163" s="135"/>
      <c r="BM163" s="135"/>
      <c r="BN163" s="135"/>
      <c r="BO163" s="135"/>
      <c r="BP163" s="135"/>
      <c r="BQ163" s="135"/>
      <c r="BR163" s="135"/>
      <c r="BS163" s="132" t="s">
        <v>1177</v>
      </c>
      <c r="BT163" s="133"/>
      <c r="BU163" s="133"/>
      <c r="BV163" s="133"/>
      <c r="BW163" s="133"/>
      <c r="BX163" s="133"/>
      <c r="IR163" s="46">
        <f t="shared" si="4"/>
        <v>0</v>
      </c>
      <c r="IS163" s="46">
        <f t="shared" si="5"/>
        <v>0</v>
      </c>
    </row>
    <row r="164" spans="1:253" ht="12.75">
      <c r="A164" s="132" t="s">
        <v>112</v>
      </c>
      <c r="B164" s="133"/>
      <c r="C164" s="132"/>
      <c r="D164" s="133"/>
      <c r="E164" s="133"/>
      <c r="F164" s="132" t="s">
        <v>490</v>
      </c>
      <c r="G164" s="133"/>
      <c r="H164" s="133"/>
      <c r="I164" s="133"/>
      <c r="J164" s="133"/>
      <c r="K164" s="133"/>
      <c r="L164" s="132" t="s">
        <v>888</v>
      </c>
      <c r="M164" s="133"/>
      <c r="N164" s="133"/>
      <c r="O164" s="133"/>
      <c r="P164" s="133"/>
      <c r="Q164" s="133"/>
      <c r="R164" s="133"/>
      <c r="S164" s="133"/>
      <c r="T164" s="133"/>
      <c r="U164" s="133"/>
      <c r="V164" s="133"/>
      <c r="W164" s="133"/>
      <c r="X164" s="133"/>
      <c r="Y164" s="133"/>
      <c r="Z164" s="133"/>
      <c r="AA164" s="133"/>
      <c r="AB164" s="133"/>
      <c r="AC164" s="133"/>
      <c r="AD164" s="133"/>
      <c r="AE164" s="133"/>
      <c r="AF164" s="133"/>
      <c r="AG164" s="133"/>
      <c r="AH164" s="133"/>
      <c r="AI164" s="133"/>
      <c r="AJ164" s="133"/>
      <c r="AK164" s="133"/>
      <c r="AL164" s="133"/>
      <c r="AM164" s="133"/>
      <c r="AN164" s="133"/>
      <c r="AO164" s="133"/>
      <c r="AP164" s="133"/>
      <c r="AQ164" s="133"/>
      <c r="AR164" s="133"/>
      <c r="AS164" s="133"/>
      <c r="AT164" s="133"/>
      <c r="AU164" s="133"/>
      <c r="AV164" s="132" t="s">
        <v>1153</v>
      </c>
      <c r="AW164" s="133"/>
      <c r="AX164" s="134">
        <f>'Stavební rozpočet'!F165</f>
        <v>1</v>
      </c>
      <c r="AY164" s="135"/>
      <c r="AZ164" s="135"/>
      <c r="BA164" s="135"/>
      <c r="BB164" s="135"/>
      <c r="BC164" s="134">
        <f>'Stavební rozpočet'!G165</f>
        <v>0</v>
      </c>
      <c r="BD164" s="135"/>
      <c r="BE164" s="135"/>
      <c r="BF164" s="135"/>
      <c r="BG164" s="135"/>
      <c r="BH164" s="135"/>
      <c r="BI164" s="135"/>
      <c r="BJ164" s="135"/>
      <c r="BK164" s="134">
        <f t="shared" si="3"/>
        <v>0</v>
      </c>
      <c r="BL164" s="135"/>
      <c r="BM164" s="135"/>
      <c r="BN164" s="135"/>
      <c r="BO164" s="135"/>
      <c r="BP164" s="135"/>
      <c r="BQ164" s="135"/>
      <c r="BR164" s="135"/>
      <c r="BS164" s="132" t="s">
        <v>1177</v>
      </c>
      <c r="BT164" s="133"/>
      <c r="BU164" s="133"/>
      <c r="BV164" s="133"/>
      <c r="BW164" s="133"/>
      <c r="BX164" s="133"/>
      <c r="IR164" s="46">
        <f t="shared" si="4"/>
        <v>0</v>
      </c>
      <c r="IS164" s="46">
        <f t="shared" si="5"/>
        <v>0</v>
      </c>
    </row>
    <row r="165" spans="1:253" ht="12.75">
      <c r="A165" s="132" t="s">
        <v>113</v>
      </c>
      <c r="B165" s="133"/>
      <c r="C165" s="132"/>
      <c r="D165" s="133"/>
      <c r="E165" s="133"/>
      <c r="F165" s="132" t="s">
        <v>491</v>
      </c>
      <c r="G165" s="133"/>
      <c r="H165" s="133"/>
      <c r="I165" s="133"/>
      <c r="J165" s="133"/>
      <c r="K165" s="133"/>
      <c r="L165" s="132" t="s">
        <v>889</v>
      </c>
      <c r="M165" s="133"/>
      <c r="N165" s="133"/>
      <c r="O165" s="133"/>
      <c r="P165" s="133"/>
      <c r="Q165" s="133"/>
      <c r="R165" s="133"/>
      <c r="S165" s="133"/>
      <c r="T165" s="133"/>
      <c r="U165" s="133"/>
      <c r="V165" s="133"/>
      <c r="W165" s="133"/>
      <c r="X165" s="133"/>
      <c r="Y165" s="133"/>
      <c r="Z165" s="133"/>
      <c r="AA165" s="133"/>
      <c r="AB165" s="133"/>
      <c r="AC165" s="133"/>
      <c r="AD165" s="133"/>
      <c r="AE165" s="133"/>
      <c r="AF165" s="133"/>
      <c r="AG165" s="133"/>
      <c r="AH165" s="133"/>
      <c r="AI165" s="133"/>
      <c r="AJ165" s="133"/>
      <c r="AK165" s="133"/>
      <c r="AL165" s="133"/>
      <c r="AM165" s="133"/>
      <c r="AN165" s="133"/>
      <c r="AO165" s="133"/>
      <c r="AP165" s="133"/>
      <c r="AQ165" s="133"/>
      <c r="AR165" s="133"/>
      <c r="AS165" s="133"/>
      <c r="AT165" s="133"/>
      <c r="AU165" s="133"/>
      <c r="AV165" s="132" t="s">
        <v>1153</v>
      </c>
      <c r="AW165" s="133"/>
      <c r="AX165" s="134">
        <f>'Stavební rozpočet'!F166</f>
        <v>1</v>
      </c>
      <c r="AY165" s="135"/>
      <c r="AZ165" s="135"/>
      <c r="BA165" s="135"/>
      <c r="BB165" s="135"/>
      <c r="BC165" s="134">
        <f>'Stavební rozpočet'!G166</f>
        <v>0</v>
      </c>
      <c r="BD165" s="135"/>
      <c r="BE165" s="135"/>
      <c r="BF165" s="135"/>
      <c r="BG165" s="135"/>
      <c r="BH165" s="135"/>
      <c r="BI165" s="135"/>
      <c r="BJ165" s="135"/>
      <c r="BK165" s="134">
        <f t="shared" si="3"/>
        <v>0</v>
      </c>
      <c r="BL165" s="135"/>
      <c r="BM165" s="135"/>
      <c r="BN165" s="135"/>
      <c r="BO165" s="135"/>
      <c r="BP165" s="135"/>
      <c r="BQ165" s="135"/>
      <c r="BR165" s="135"/>
      <c r="BS165" s="132" t="s">
        <v>1177</v>
      </c>
      <c r="BT165" s="133"/>
      <c r="BU165" s="133"/>
      <c r="BV165" s="133"/>
      <c r="BW165" s="133"/>
      <c r="BX165" s="133"/>
      <c r="IR165" s="46">
        <f t="shared" si="4"/>
        <v>0</v>
      </c>
      <c r="IS165" s="46">
        <f t="shared" si="5"/>
        <v>0</v>
      </c>
    </row>
    <row r="166" spans="1:253" ht="12.75">
      <c r="A166" s="132" t="s">
        <v>114</v>
      </c>
      <c r="B166" s="133"/>
      <c r="C166" s="132"/>
      <c r="D166" s="133"/>
      <c r="E166" s="133"/>
      <c r="F166" s="132" t="s">
        <v>492</v>
      </c>
      <c r="G166" s="133"/>
      <c r="H166" s="133"/>
      <c r="I166" s="133"/>
      <c r="J166" s="133"/>
      <c r="K166" s="133"/>
      <c r="L166" s="132" t="s">
        <v>890</v>
      </c>
      <c r="M166" s="133"/>
      <c r="N166" s="133"/>
      <c r="O166" s="133"/>
      <c r="P166" s="133"/>
      <c r="Q166" s="133"/>
      <c r="R166" s="133"/>
      <c r="S166" s="133"/>
      <c r="T166" s="133"/>
      <c r="U166" s="133"/>
      <c r="V166" s="133"/>
      <c r="W166" s="133"/>
      <c r="X166" s="133"/>
      <c r="Y166" s="133"/>
      <c r="Z166" s="133"/>
      <c r="AA166" s="133"/>
      <c r="AB166" s="133"/>
      <c r="AC166" s="133"/>
      <c r="AD166" s="133"/>
      <c r="AE166" s="133"/>
      <c r="AF166" s="133"/>
      <c r="AG166" s="133"/>
      <c r="AH166" s="133"/>
      <c r="AI166" s="133"/>
      <c r="AJ166" s="133"/>
      <c r="AK166" s="133"/>
      <c r="AL166" s="133"/>
      <c r="AM166" s="133"/>
      <c r="AN166" s="133"/>
      <c r="AO166" s="133"/>
      <c r="AP166" s="133"/>
      <c r="AQ166" s="133"/>
      <c r="AR166" s="133"/>
      <c r="AS166" s="133"/>
      <c r="AT166" s="133"/>
      <c r="AU166" s="133"/>
      <c r="AV166" s="132" t="s">
        <v>1153</v>
      </c>
      <c r="AW166" s="133"/>
      <c r="AX166" s="134">
        <f>'Stavební rozpočet'!F167</f>
        <v>1</v>
      </c>
      <c r="AY166" s="135"/>
      <c r="AZ166" s="135"/>
      <c r="BA166" s="135"/>
      <c r="BB166" s="135"/>
      <c r="BC166" s="134">
        <f>'Stavební rozpočet'!G167</f>
        <v>0</v>
      </c>
      <c r="BD166" s="135"/>
      <c r="BE166" s="135"/>
      <c r="BF166" s="135"/>
      <c r="BG166" s="135"/>
      <c r="BH166" s="135"/>
      <c r="BI166" s="135"/>
      <c r="BJ166" s="135"/>
      <c r="BK166" s="134">
        <f t="shared" si="3"/>
        <v>0</v>
      </c>
      <c r="BL166" s="135"/>
      <c r="BM166" s="135"/>
      <c r="BN166" s="135"/>
      <c r="BO166" s="135"/>
      <c r="BP166" s="135"/>
      <c r="BQ166" s="135"/>
      <c r="BR166" s="135"/>
      <c r="BS166" s="132" t="s">
        <v>1177</v>
      </c>
      <c r="BT166" s="133"/>
      <c r="BU166" s="133"/>
      <c r="BV166" s="133"/>
      <c r="BW166" s="133"/>
      <c r="BX166" s="133"/>
      <c r="IR166" s="46">
        <f t="shared" si="4"/>
        <v>0</v>
      </c>
      <c r="IS166" s="46">
        <f t="shared" si="5"/>
        <v>0</v>
      </c>
    </row>
    <row r="167" spans="1:253" ht="12.75">
      <c r="A167" s="132" t="s">
        <v>115</v>
      </c>
      <c r="B167" s="133"/>
      <c r="C167" s="132"/>
      <c r="D167" s="133"/>
      <c r="E167" s="133"/>
      <c r="F167" s="132" t="s">
        <v>493</v>
      </c>
      <c r="G167" s="133"/>
      <c r="H167" s="133"/>
      <c r="I167" s="133"/>
      <c r="J167" s="133"/>
      <c r="K167" s="133"/>
      <c r="L167" s="132" t="s">
        <v>891</v>
      </c>
      <c r="M167" s="133"/>
      <c r="N167" s="133"/>
      <c r="O167" s="133"/>
      <c r="P167" s="133"/>
      <c r="Q167" s="133"/>
      <c r="R167" s="133"/>
      <c r="S167" s="133"/>
      <c r="T167" s="133"/>
      <c r="U167" s="133"/>
      <c r="V167" s="133"/>
      <c r="W167" s="133"/>
      <c r="X167" s="133"/>
      <c r="Y167" s="133"/>
      <c r="Z167" s="133"/>
      <c r="AA167" s="133"/>
      <c r="AB167" s="133"/>
      <c r="AC167" s="133"/>
      <c r="AD167" s="133"/>
      <c r="AE167" s="133"/>
      <c r="AF167" s="133"/>
      <c r="AG167" s="133"/>
      <c r="AH167" s="133"/>
      <c r="AI167" s="133"/>
      <c r="AJ167" s="133"/>
      <c r="AK167" s="133"/>
      <c r="AL167" s="133"/>
      <c r="AM167" s="133"/>
      <c r="AN167" s="133"/>
      <c r="AO167" s="133"/>
      <c r="AP167" s="133"/>
      <c r="AQ167" s="133"/>
      <c r="AR167" s="133"/>
      <c r="AS167" s="133"/>
      <c r="AT167" s="133"/>
      <c r="AU167" s="133"/>
      <c r="AV167" s="132" t="s">
        <v>1154</v>
      </c>
      <c r="AW167" s="133"/>
      <c r="AX167" s="134">
        <f>'Stavební rozpočet'!F168</f>
        <v>13.8</v>
      </c>
      <c r="AY167" s="135"/>
      <c r="AZ167" s="135"/>
      <c r="BA167" s="135"/>
      <c r="BB167" s="135"/>
      <c r="BC167" s="134">
        <f>'Stavební rozpočet'!G168</f>
        <v>0</v>
      </c>
      <c r="BD167" s="135"/>
      <c r="BE167" s="135"/>
      <c r="BF167" s="135"/>
      <c r="BG167" s="135"/>
      <c r="BH167" s="135"/>
      <c r="BI167" s="135"/>
      <c r="BJ167" s="135"/>
      <c r="BK167" s="134">
        <f t="shared" si="3"/>
        <v>0</v>
      </c>
      <c r="BL167" s="135"/>
      <c r="BM167" s="135"/>
      <c r="BN167" s="135"/>
      <c r="BO167" s="135"/>
      <c r="BP167" s="135"/>
      <c r="BQ167" s="135"/>
      <c r="BR167" s="135"/>
      <c r="BS167" s="132" t="s">
        <v>1177</v>
      </c>
      <c r="BT167" s="133"/>
      <c r="BU167" s="133"/>
      <c r="BV167" s="133"/>
      <c r="BW167" s="133"/>
      <c r="BX167" s="133"/>
      <c r="IR167" s="46">
        <f t="shared" si="4"/>
        <v>0</v>
      </c>
      <c r="IS167" s="46">
        <f t="shared" si="5"/>
        <v>0</v>
      </c>
    </row>
    <row r="168" spans="1:253" ht="12.75">
      <c r="A168" s="132" t="s">
        <v>116</v>
      </c>
      <c r="B168" s="133"/>
      <c r="C168" s="132"/>
      <c r="D168" s="133"/>
      <c r="E168" s="133"/>
      <c r="F168" s="132" t="s">
        <v>494</v>
      </c>
      <c r="G168" s="133"/>
      <c r="H168" s="133"/>
      <c r="I168" s="133"/>
      <c r="J168" s="133"/>
      <c r="K168" s="133"/>
      <c r="L168" s="132" t="s">
        <v>892</v>
      </c>
      <c r="M168" s="133"/>
      <c r="N168" s="133"/>
      <c r="O168" s="133"/>
      <c r="P168" s="133"/>
      <c r="Q168" s="133"/>
      <c r="R168" s="133"/>
      <c r="S168" s="133"/>
      <c r="T168" s="133"/>
      <c r="U168" s="133"/>
      <c r="V168" s="133"/>
      <c r="W168" s="133"/>
      <c r="X168" s="133"/>
      <c r="Y168" s="133"/>
      <c r="Z168" s="133"/>
      <c r="AA168" s="133"/>
      <c r="AB168" s="133"/>
      <c r="AC168" s="133"/>
      <c r="AD168" s="133"/>
      <c r="AE168" s="133"/>
      <c r="AF168" s="133"/>
      <c r="AG168" s="133"/>
      <c r="AH168" s="133"/>
      <c r="AI168" s="133"/>
      <c r="AJ168" s="133"/>
      <c r="AK168" s="133"/>
      <c r="AL168" s="133"/>
      <c r="AM168" s="133"/>
      <c r="AN168" s="133"/>
      <c r="AO168" s="133"/>
      <c r="AP168" s="133"/>
      <c r="AQ168" s="133"/>
      <c r="AR168" s="133"/>
      <c r="AS168" s="133"/>
      <c r="AT168" s="133"/>
      <c r="AU168" s="133"/>
      <c r="AV168" s="132" t="s">
        <v>1153</v>
      </c>
      <c r="AW168" s="133"/>
      <c r="AX168" s="134">
        <f>'Stavební rozpočet'!F169</f>
        <v>1</v>
      </c>
      <c r="AY168" s="135"/>
      <c r="AZ168" s="135"/>
      <c r="BA168" s="135"/>
      <c r="BB168" s="135"/>
      <c r="BC168" s="134">
        <f>'Stavební rozpočet'!G169</f>
        <v>0</v>
      </c>
      <c r="BD168" s="135"/>
      <c r="BE168" s="135"/>
      <c r="BF168" s="135"/>
      <c r="BG168" s="135"/>
      <c r="BH168" s="135"/>
      <c r="BI168" s="135"/>
      <c r="BJ168" s="135"/>
      <c r="BK168" s="134">
        <f t="shared" si="3"/>
        <v>0</v>
      </c>
      <c r="BL168" s="135"/>
      <c r="BM168" s="135"/>
      <c r="BN168" s="135"/>
      <c r="BO168" s="135"/>
      <c r="BP168" s="135"/>
      <c r="BQ168" s="135"/>
      <c r="BR168" s="135"/>
      <c r="BS168" s="132" t="s">
        <v>1177</v>
      </c>
      <c r="BT168" s="133"/>
      <c r="BU168" s="133"/>
      <c r="BV168" s="133"/>
      <c r="BW168" s="133"/>
      <c r="BX168" s="133"/>
      <c r="IR168" s="46">
        <f t="shared" si="4"/>
        <v>0</v>
      </c>
      <c r="IS168" s="46">
        <f t="shared" si="5"/>
        <v>0</v>
      </c>
    </row>
    <row r="169" spans="1:253" ht="12.75">
      <c r="A169" s="132" t="s">
        <v>117</v>
      </c>
      <c r="B169" s="133"/>
      <c r="C169" s="132"/>
      <c r="D169" s="133"/>
      <c r="E169" s="133"/>
      <c r="F169" s="132" t="s">
        <v>495</v>
      </c>
      <c r="G169" s="133"/>
      <c r="H169" s="133"/>
      <c r="I169" s="133"/>
      <c r="J169" s="133"/>
      <c r="K169" s="133"/>
      <c r="L169" s="132" t="s">
        <v>893</v>
      </c>
      <c r="M169" s="133"/>
      <c r="N169" s="133"/>
      <c r="O169" s="133"/>
      <c r="P169" s="133"/>
      <c r="Q169" s="133"/>
      <c r="R169" s="133"/>
      <c r="S169" s="133"/>
      <c r="T169" s="133"/>
      <c r="U169" s="133"/>
      <c r="V169" s="133"/>
      <c r="W169" s="133"/>
      <c r="X169" s="133"/>
      <c r="Y169" s="133"/>
      <c r="Z169" s="133"/>
      <c r="AA169" s="133"/>
      <c r="AB169" s="133"/>
      <c r="AC169" s="133"/>
      <c r="AD169" s="133"/>
      <c r="AE169" s="133"/>
      <c r="AF169" s="133"/>
      <c r="AG169" s="133"/>
      <c r="AH169" s="133"/>
      <c r="AI169" s="133"/>
      <c r="AJ169" s="133"/>
      <c r="AK169" s="133"/>
      <c r="AL169" s="133"/>
      <c r="AM169" s="133"/>
      <c r="AN169" s="133"/>
      <c r="AO169" s="133"/>
      <c r="AP169" s="133"/>
      <c r="AQ169" s="133"/>
      <c r="AR169" s="133"/>
      <c r="AS169" s="133"/>
      <c r="AT169" s="133"/>
      <c r="AU169" s="133"/>
      <c r="AV169" s="132" t="s">
        <v>1153</v>
      </c>
      <c r="AW169" s="133"/>
      <c r="AX169" s="134">
        <f>'Stavební rozpočet'!F170</f>
        <v>1</v>
      </c>
      <c r="AY169" s="135"/>
      <c r="AZ169" s="135"/>
      <c r="BA169" s="135"/>
      <c r="BB169" s="135"/>
      <c r="BC169" s="134">
        <f>'Stavební rozpočet'!G170</f>
        <v>0</v>
      </c>
      <c r="BD169" s="135"/>
      <c r="BE169" s="135"/>
      <c r="BF169" s="135"/>
      <c r="BG169" s="135"/>
      <c r="BH169" s="135"/>
      <c r="BI169" s="135"/>
      <c r="BJ169" s="135"/>
      <c r="BK169" s="134">
        <f t="shared" si="3"/>
        <v>0</v>
      </c>
      <c r="BL169" s="135"/>
      <c r="BM169" s="135"/>
      <c r="BN169" s="135"/>
      <c r="BO169" s="135"/>
      <c r="BP169" s="135"/>
      <c r="BQ169" s="135"/>
      <c r="BR169" s="135"/>
      <c r="BS169" s="132" t="s">
        <v>1177</v>
      </c>
      <c r="BT169" s="133"/>
      <c r="BU169" s="133"/>
      <c r="BV169" s="133"/>
      <c r="BW169" s="133"/>
      <c r="BX169" s="133"/>
      <c r="IR169" s="46">
        <f t="shared" si="4"/>
        <v>0</v>
      </c>
      <c r="IS169" s="46">
        <f t="shared" si="5"/>
        <v>0</v>
      </c>
    </row>
    <row r="170" spans="1:253" ht="12.75">
      <c r="A170" s="132" t="s">
        <v>118</v>
      </c>
      <c r="B170" s="133"/>
      <c r="C170" s="132"/>
      <c r="D170" s="133"/>
      <c r="E170" s="133"/>
      <c r="F170" s="132" t="s">
        <v>495</v>
      </c>
      <c r="G170" s="133"/>
      <c r="H170" s="133"/>
      <c r="I170" s="133"/>
      <c r="J170" s="133"/>
      <c r="K170" s="133"/>
      <c r="L170" s="132" t="s">
        <v>894</v>
      </c>
      <c r="M170" s="133"/>
      <c r="N170" s="133"/>
      <c r="O170" s="133"/>
      <c r="P170" s="133"/>
      <c r="Q170" s="133"/>
      <c r="R170" s="133"/>
      <c r="S170" s="133"/>
      <c r="T170" s="133"/>
      <c r="U170" s="133"/>
      <c r="V170" s="133"/>
      <c r="W170" s="133"/>
      <c r="X170" s="133"/>
      <c r="Y170" s="133"/>
      <c r="Z170" s="133"/>
      <c r="AA170" s="133"/>
      <c r="AB170" s="133"/>
      <c r="AC170" s="133"/>
      <c r="AD170" s="133"/>
      <c r="AE170" s="133"/>
      <c r="AF170" s="133"/>
      <c r="AG170" s="133"/>
      <c r="AH170" s="133"/>
      <c r="AI170" s="133"/>
      <c r="AJ170" s="133"/>
      <c r="AK170" s="133"/>
      <c r="AL170" s="133"/>
      <c r="AM170" s="133"/>
      <c r="AN170" s="133"/>
      <c r="AO170" s="133"/>
      <c r="AP170" s="133"/>
      <c r="AQ170" s="133"/>
      <c r="AR170" s="133"/>
      <c r="AS170" s="133"/>
      <c r="AT170" s="133"/>
      <c r="AU170" s="133"/>
      <c r="AV170" s="132" t="s">
        <v>1153</v>
      </c>
      <c r="AW170" s="133"/>
      <c r="AX170" s="134">
        <f>'Stavební rozpočet'!F171</f>
        <v>2</v>
      </c>
      <c r="AY170" s="135"/>
      <c r="AZ170" s="135"/>
      <c r="BA170" s="135"/>
      <c r="BB170" s="135"/>
      <c r="BC170" s="134">
        <f>'Stavební rozpočet'!G171</f>
        <v>0</v>
      </c>
      <c r="BD170" s="135"/>
      <c r="BE170" s="135"/>
      <c r="BF170" s="135"/>
      <c r="BG170" s="135"/>
      <c r="BH170" s="135"/>
      <c r="BI170" s="135"/>
      <c r="BJ170" s="135"/>
      <c r="BK170" s="134">
        <f t="shared" si="3"/>
        <v>0</v>
      </c>
      <c r="BL170" s="135"/>
      <c r="BM170" s="135"/>
      <c r="BN170" s="135"/>
      <c r="BO170" s="135"/>
      <c r="BP170" s="135"/>
      <c r="BQ170" s="135"/>
      <c r="BR170" s="135"/>
      <c r="BS170" s="132" t="s">
        <v>1177</v>
      </c>
      <c r="BT170" s="133"/>
      <c r="BU170" s="133"/>
      <c r="BV170" s="133"/>
      <c r="BW170" s="133"/>
      <c r="BX170" s="133"/>
      <c r="IR170" s="46">
        <f t="shared" si="4"/>
        <v>0</v>
      </c>
      <c r="IS170" s="46">
        <f t="shared" si="5"/>
        <v>0</v>
      </c>
    </row>
    <row r="171" spans="1:253" ht="12.75">
      <c r="A171" s="132" t="s">
        <v>119</v>
      </c>
      <c r="B171" s="133"/>
      <c r="C171" s="132"/>
      <c r="D171" s="133"/>
      <c r="E171" s="133"/>
      <c r="F171" s="132" t="s">
        <v>496</v>
      </c>
      <c r="G171" s="133"/>
      <c r="H171" s="133"/>
      <c r="I171" s="133"/>
      <c r="J171" s="133"/>
      <c r="K171" s="133"/>
      <c r="L171" s="132" t="s">
        <v>895</v>
      </c>
      <c r="M171" s="133"/>
      <c r="N171" s="133"/>
      <c r="O171" s="133"/>
      <c r="P171" s="133"/>
      <c r="Q171" s="133"/>
      <c r="R171" s="133"/>
      <c r="S171" s="133"/>
      <c r="T171" s="133"/>
      <c r="U171" s="133"/>
      <c r="V171" s="133"/>
      <c r="W171" s="133"/>
      <c r="X171" s="133"/>
      <c r="Y171" s="133"/>
      <c r="Z171" s="133"/>
      <c r="AA171" s="133"/>
      <c r="AB171" s="133"/>
      <c r="AC171" s="133"/>
      <c r="AD171" s="133"/>
      <c r="AE171" s="133"/>
      <c r="AF171" s="133"/>
      <c r="AG171" s="133"/>
      <c r="AH171" s="133"/>
      <c r="AI171" s="133"/>
      <c r="AJ171" s="133"/>
      <c r="AK171" s="133"/>
      <c r="AL171" s="133"/>
      <c r="AM171" s="133"/>
      <c r="AN171" s="133"/>
      <c r="AO171" s="133"/>
      <c r="AP171" s="133"/>
      <c r="AQ171" s="133"/>
      <c r="AR171" s="133"/>
      <c r="AS171" s="133"/>
      <c r="AT171" s="133"/>
      <c r="AU171" s="133"/>
      <c r="AV171" s="132" t="s">
        <v>1155</v>
      </c>
      <c r="AW171" s="133"/>
      <c r="AX171" s="134">
        <f>'Stavební rozpočet'!F172</f>
        <v>15</v>
      </c>
      <c r="AY171" s="135"/>
      <c r="AZ171" s="135"/>
      <c r="BA171" s="135"/>
      <c r="BB171" s="135"/>
      <c r="BC171" s="134">
        <f>'Stavební rozpočet'!G172</f>
        <v>0</v>
      </c>
      <c r="BD171" s="135"/>
      <c r="BE171" s="135"/>
      <c r="BF171" s="135"/>
      <c r="BG171" s="135"/>
      <c r="BH171" s="135"/>
      <c r="BI171" s="135"/>
      <c r="BJ171" s="135"/>
      <c r="BK171" s="134">
        <f t="shared" si="3"/>
        <v>0</v>
      </c>
      <c r="BL171" s="135"/>
      <c r="BM171" s="135"/>
      <c r="BN171" s="135"/>
      <c r="BO171" s="135"/>
      <c r="BP171" s="135"/>
      <c r="BQ171" s="135"/>
      <c r="BR171" s="135"/>
      <c r="BS171" s="132" t="s">
        <v>1177</v>
      </c>
      <c r="BT171" s="133"/>
      <c r="BU171" s="133"/>
      <c r="BV171" s="133"/>
      <c r="BW171" s="133"/>
      <c r="BX171" s="133"/>
      <c r="IR171" s="46">
        <f t="shared" si="4"/>
        <v>0</v>
      </c>
      <c r="IS171" s="46">
        <f t="shared" si="5"/>
        <v>0</v>
      </c>
    </row>
    <row r="172" spans="1:253" ht="12.75">
      <c r="A172" s="132" t="s">
        <v>120</v>
      </c>
      <c r="B172" s="133"/>
      <c r="C172" s="132"/>
      <c r="D172" s="133"/>
      <c r="E172" s="133"/>
      <c r="F172" s="132" t="s">
        <v>497</v>
      </c>
      <c r="G172" s="133"/>
      <c r="H172" s="133"/>
      <c r="I172" s="133"/>
      <c r="J172" s="133"/>
      <c r="K172" s="133"/>
      <c r="L172" s="132" t="s">
        <v>896</v>
      </c>
      <c r="M172" s="133"/>
      <c r="N172" s="133"/>
      <c r="O172" s="133"/>
      <c r="P172" s="133"/>
      <c r="Q172" s="133"/>
      <c r="R172" s="133"/>
      <c r="S172" s="133"/>
      <c r="T172" s="133"/>
      <c r="U172" s="133"/>
      <c r="V172" s="133"/>
      <c r="W172" s="133"/>
      <c r="X172" s="133"/>
      <c r="Y172" s="133"/>
      <c r="Z172" s="133"/>
      <c r="AA172" s="133"/>
      <c r="AB172" s="133"/>
      <c r="AC172" s="133"/>
      <c r="AD172" s="133"/>
      <c r="AE172" s="133"/>
      <c r="AF172" s="133"/>
      <c r="AG172" s="133"/>
      <c r="AH172" s="133"/>
      <c r="AI172" s="133"/>
      <c r="AJ172" s="133"/>
      <c r="AK172" s="133"/>
      <c r="AL172" s="133"/>
      <c r="AM172" s="133"/>
      <c r="AN172" s="133"/>
      <c r="AO172" s="133"/>
      <c r="AP172" s="133"/>
      <c r="AQ172" s="133"/>
      <c r="AR172" s="133"/>
      <c r="AS172" s="133"/>
      <c r="AT172" s="133"/>
      <c r="AU172" s="133"/>
      <c r="AV172" s="132" t="s">
        <v>1154</v>
      </c>
      <c r="AW172" s="133"/>
      <c r="AX172" s="134">
        <f>'Stavební rozpočet'!F173</f>
        <v>64.4</v>
      </c>
      <c r="AY172" s="135"/>
      <c r="AZ172" s="135"/>
      <c r="BA172" s="135"/>
      <c r="BB172" s="135"/>
      <c r="BC172" s="134">
        <f>'Stavební rozpočet'!G173</f>
        <v>0</v>
      </c>
      <c r="BD172" s="135"/>
      <c r="BE172" s="135"/>
      <c r="BF172" s="135"/>
      <c r="BG172" s="135"/>
      <c r="BH172" s="135"/>
      <c r="BI172" s="135"/>
      <c r="BJ172" s="135"/>
      <c r="BK172" s="134">
        <f t="shared" si="3"/>
        <v>0</v>
      </c>
      <c r="BL172" s="135"/>
      <c r="BM172" s="135"/>
      <c r="BN172" s="135"/>
      <c r="BO172" s="135"/>
      <c r="BP172" s="135"/>
      <c r="BQ172" s="135"/>
      <c r="BR172" s="135"/>
      <c r="BS172" s="132" t="s">
        <v>1177</v>
      </c>
      <c r="BT172" s="133"/>
      <c r="BU172" s="133"/>
      <c r="BV172" s="133"/>
      <c r="BW172" s="133"/>
      <c r="BX172" s="133"/>
      <c r="IR172" s="46">
        <f t="shared" si="4"/>
        <v>0</v>
      </c>
      <c r="IS172" s="46">
        <f t="shared" si="5"/>
        <v>0</v>
      </c>
    </row>
    <row r="173" spans="1:253" ht="12.75">
      <c r="A173" s="132" t="s">
        <v>121</v>
      </c>
      <c r="B173" s="133"/>
      <c r="C173" s="132"/>
      <c r="D173" s="133"/>
      <c r="E173" s="133"/>
      <c r="F173" s="132" t="s">
        <v>498</v>
      </c>
      <c r="G173" s="133"/>
      <c r="H173" s="133"/>
      <c r="I173" s="133"/>
      <c r="J173" s="133"/>
      <c r="K173" s="133"/>
      <c r="L173" s="132" t="s">
        <v>897</v>
      </c>
      <c r="M173" s="133"/>
      <c r="N173" s="133"/>
      <c r="O173" s="133"/>
      <c r="P173" s="133"/>
      <c r="Q173" s="133"/>
      <c r="R173" s="133"/>
      <c r="S173" s="133"/>
      <c r="T173" s="133"/>
      <c r="U173" s="133"/>
      <c r="V173" s="133"/>
      <c r="W173" s="133"/>
      <c r="X173" s="133"/>
      <c r="Y173" s="133"/>
      <c r="Z173" s="133"/>
      <c r="AA173" s="133"/>
      <c r="AB173" s="133"/>
      <c r="AC173" s="133"/>
      <c r="AD173" s="133"/>
      <c r="AE173" s="133"/>
      <c r="AF173" s="133"/>
      <c r="AG173" s="133"/>
      <c r="AH173" s="133"/>
      <c r="AI173" s="133"/>
      <c r="AJ173" s="133"/>
      <c r="AK173" s="133"/>
      <c r="AL173" s="133"/>
      <c r="AM173" s="133"/>
      <c r="AN173" s="133"/>
      <c r="AO173" s="133"/>
      <c r="AP173" s="133"/>
      <c r="AQ173" s="133"/>
      <c r="AR173" s="133"/>
      <c r="AS173" s="133"/>
      <c r="AT173" s="133"/>
      <c r="AU173" s="133"/>
      <c r="AV173" s="132" t="s">
        <v>1154</v>
      </c>
      <c r="AW173" s="133"/>
      <c r="AX173" s="134">
        <f>'Stavební rozpočet'!F174</f>
        <v>64.4</v>
      </c>
      <c r="AY173" s="135"/>
      <c r="AZ173" s="135"/>
      <c r="BA173" s="135"/>
      <c r="BB173" s="135"/>
      <c r="BC173" s="134">
        <f>'Stavební rozpočet'!G174</f>
        <v>0</v>
      </c>
      <c r="BD173" s="135"/>
      <c r="BE173" s="135"/>
      <c r="BF173" s="135"/>
      <c r="BG173" s="135"/>
      <c r="BH173" s="135"/>
      <c r="BI173" s="135"/>
      <c r="BJ173" s="135"/>
      <c r="BK173" s="134">
        <f t="shared" si="3"/>
        <v>0</v>
      </c>
      <c r="BL173" s="135"/>
      <c r="BM173" s="135"/>
      <c r="BN173" s="135"/>
      <c r="BO173" s="135"/>
      <c r="BP173" s="135"/>
      <c r="BQ173" s="135"/>
      <c r="BR173" s="135"/>
      <c r="BS173" s="132" t="s">
        <v>1177</v>
      </c>
      <c r="BT173" s="133"/>
      <c r="BU173" s="133"/>
      <c r="BV173" s="133"/>
      <c r="BW173" s="133"/>
      <c r="BX173" s="133"/>
      <c r="IR173" s="46">
        <f t="shared" si="4"/>
        <v>0</v>
      </c>
      <c r="IS173" s="46">
        <f t="shared" si="5"/>
        <v>0</v>
      </c>
    </row>
    <row r="174" spans="1:253" ht="12.75">
      <c r="A174" s="132" t="s">
        <v>122</v>
      </c>
      <c r="B174" s="133"/>
      <c r="C174" s="132"/>
      <c r="D174" s="133"/>
      <c r="E174" s="133"/>
      <c r="F174" s="132" t="s">
        <v>499</v>
      </c>
      <c r="G174" s="133"/>
      <c r="H174" s="133"/>
      <c r="I174" s="133"/>
      <c r="J174" s="133"/>
      <c r="K174" s="133"/>
      <c r="L174" s="132" t="s">
        <v>898</v>
      </c>
      <c r="M174" s="133"/>
      <c r="N174" s="133"/>
      <c r="O174" s="133"/>
      <c r="P174" s="133"/>
      <c r="Q174" s="133"/>
      <c r="R174" s="133"/>
      <c r="S174" s="133"/>
      <c r="T174" s="133"/>
      <c r="U174" s="133"/>
      <c r="V174" s="133"/>
      <c r="W174" s="133"/>
      <c r="X174" s="133"/>
      <c r="Y174" s="133"/>
      <c r="Z174" s="133"/>
      <c r="AA174" s="133"/>
      <c r="AB174" s="133"/>
      <c r="AC174" s="133"/>
      <c r="AD174" s="133"/>
      <c r="AE174" s="133"/>
      <c r="AF174" s="133"/>
      <c r="AG174" s="133"/>
      <c r="AH174" s="133"/>
      <c r="AI174" s="133"/>
      <c r="AJ174" s="133"/>
      <c r="AK174" s="133"/>
      <c r="AL174" s="133"/>
      <c r="AM174" s="133"/>
      <c r="AN174" s="133"/>
      <c r="AO174" s="133"/>
      <c r="AP174" s="133"/>
      <c r="AQ174" s="133"/>
      <c r="AR174" s="133"/>
      <c r="AS174" s="133"/>
      <c r="AT174" s="133"/>
      <c r="AU174" s="133"/>
      <c r="AV174" s="132" t="s">
        <v>1154</v>
      </c>
      <c r="AW174" s="133"/>
      <c r="AX174" s="134">
        <f>'Stavební rozpočet'!F175</f>
        <v>64.4</v>
      </c>
      <c r="AY174" s="135"/>
      <c r="AZ174" s="135"/>
      <c r="BA174" s="135"/>
      <c r="BB174" s="135"/>
      <c r="BC174" s="134">
        <f>'Stavební rozpočet'!G175</f>
        <v>0</v>
      </c>
      <c r="BD174" s="135"/>
      <c r="BE174" s="135"/>
      <c r="BF174" s="135"/>
      <c r="BG174" s="135"/>
      <c r="BH174" s="135"/>
      <c r="BI174" s="135"/>
      <c r="BJ174" s="135"/>
      <c r="BK174" s="134">
        <f t="shared" si="3"/>
        <v>0</v>
      </c>
      <c r="BL174" s="135"/>
      <c r="BM174" s="135"/>
      <c r="BN174" s="135"/>
      <c r="BO174" s="135"/>
      <c r="BP174" s="135"/>
      <c r="BQ174" s="135"/>
      <c r="BR174" s="135"/>
      <c r="BS174" s="132" t="s">
        <v>1177</v>
      </c>
      <c r="BT174" s="133"/>
      <c r="BU174" s="133"/>
      <c r="BV174" s="133"/>
      <c r="BW174" s="133"/>
      <c r="BX174" s="133"/>
      <c r="IR174" s="46">
        <f t="shared" si="4"/>
        <v>0</v>
      </c>
      <c r="IS174" s="46">
        <f t="shared" si="5"/>
        <v>0</v>
      </c>
    </row>
    <row r="175" spans="1:253" ht="12.75">
      <c r="A175" s="132" t="s">
        <v>123</v>
      </c>
      <c r="B175" s="133"/>
      <c r="C175" s="132"/>
      <c r="D175" s="133"/>
      <c r="E175" s="133"/>
      <c r="F175" s="132" t="s">
        <v>500</v>
      </c>
      <c r="G175" s="133"/>
      <c r="H175" s="133"/>
      <c r="I175" s="133"/>
      <c r="J175" s="133"/>
      <c r="K175" s="133"/>
      <c r="L175" s="132" t="s">
        <v>899</v>
      </c>
      <c r="M175" s="133"/>
      <c r="N175" s="133"/>
      <c r="O175" s="133"/>
      <c r="P175" s="133"/>
      <c r="Q175" s="133"/>
      <c r="R175" s="133"/>
      <c r="S175" s="133"/>
      <c r="T175" s="133"/>
      <c r="U175" s="133"/>
      <c r="V175" s="133"/>
      <c r="W175" s="133"/>
      <c r="X175" s="133"/>
      <c r="Y175" s="133"/>
      <c r="Z175" s="133"/>
      <c r="AA175" s="133"/>
      <c r="AB175" s="133"/>
      <c r="AC175" s="133"/>
      <c r="AD175" s="133"/>
      <c r="AE175" s="133"/>
      <c r="AF175" s="133"/>
      <c r="AG175" s="133"/>
      <c r="AH175" s="133"/>
      <c r="AI175" s="133"/>
      <c r="AJ175" s="133"/>
      <c r="AK175" s="133"/>
      <c r="AL175" s="133"/>
      <c r="AM175" s="133"/>
      <c r="AN175" s="133"/>
      <c r="AO175" s="133"/>
      <c r="AP175" s="133"/>
      <c r="AQ175" s="133"/>
      <c r="AR175" s="133"/>
      <c r="AS175" s="133"/>
      <c r="AT175" s="133"/>
      <c r="AU175" s="133"/>
      <c r="AV175" s="132" t="s">
        <v>1156</v>
      </c>
      <c r="AW175" s="133"/>
      <c r="AX175" s="134">
        <f>'Stavební rozpočet'!F176</f>
        <v>1</v>
      </c>
      <c r="AY175" s="135"/>
      <c r="AZ175" s="135"/>
      <c r="BA175" s="135"/>
      <c r="BB175" s="135"/>
      <c r="BC175" s="134">
        <f>'Stavební rozpočet'!G176</f>
        <v>0</v>
      </c>
      <c r="BD175" s="135"/>
      <c r="BE175" s="135"/>
      <c r="BF175" s="135"/>
      <c r="BG175" s="135"/>
      <c r="BH175" s="135"/>
      <c r="BI175" s="135"/>
      <c r="BJ175" s="135"/>
      <c r="BK175" s="134">
        <f t="shared" si="3"/>
        <v>0</v>
      </c>
      <c r="BL175" s="135"/>
      <c r="BM175" s="135"/>
      <c r="BN175" s="135"/>
      <c r="BO175" s="135"/>
      <c r="BP175" s="135"/>
      <c r="BQ175" s="135"/>
      <c r="BR175" s="135"/>
      <c r="BS175" s="132" t="s">
        <v>1177</v>
      </c>
      <c r="BT175" s="133"/>
      <c r="BU175" s="133"/>
      <c r="BV175" s="133"/>
      <c r="BW175" s="133"/>
      <c r="BX175" s="133"/>
      <c r="IR175" s="46">
        <f t="shared" si="4"/>
        <v>0</v>
      </c>
      <c r="IS175" s="46">
        <f t="shared" si="5"/>
        <v>0</v>
      </c>
    </row>
    <row r="176" spans="1:253" ht="12.75">
      <c r="A176" s="132" t="s">
        <v>124</v>
      </c>
      <c r="B176" s="133"/>
      <c r="C176" s="132"/>
      <c r="D176" s="133"/>
      <c r="E176" s="133"/>
      <c r="F176" s="132" t="s">
        <v>501</v>
      </c>
      <c r="G176" s="133"/>
      <c r="H176" s="133"/>
      <c r="I176" s="133"/>
      <c r="J176" s="133"/>
      <c r="K176" s="133"/>
      <c r="L176" s="132" t="s">
        <v>900</v>
      </c>
      <c r="M176" s="133"/>
      <c r="N176" s="133"/>
      <c r="O176" s="133"/>
      <c r="P176" s="133"/>
      <c r="Q176" s="133"/>
      <c r="R176" s="133"/>
      <c r="S176" s="133"/>
      <c r="T176" s="133"/>
      <c r="U176" s="133"/>
      <c r="V176" s="133"/>
      <c r="W176" s="133"/>
      <c r="X176" s="133"/>
      <c r="Y176" s="133"/>
      <c r="Z176" s="133"/>
      <c r="AA176" s="133"/>
      <c r="AB176" s="133"/>
      <c r="AC176" s="133"/>
      <c r="AD176" s="133"/>
      <c r="AE176" s="133"/>
      <c r="AF176" s="133"/>
      <c r="AG176" s="133"/>
      <c r="AH176" s="133"/>
      <c r="AI176" s="133"/>
      <c r="AJ176" s="133"/>
      <c r="AK176" s="133"/>
      <c r="AL176" s="133"/>
      <c r="AM176" s="133"/>
      <c r="AN176" s="133"/>
      <c r="AO176" s="133"/>
      <c r="AP176" s="133"/>
      <c r="AQ176" s="133"/>
      <c r="AR176" s="133"/>
      <c r="AS176" s="133"/>
      <c r="AT176" s="133"/>
      <c r="AU176" s="133"/>
      <c r="AV176" s="132" t="s">
        <v>1156</v>
      </c>
      <c r="AW176" s="133"/>
      <c r="AX176" s="134">
        <f>'Stavební rozpočet'!F177</f>
        <v>1</v>
      </c>
      <c r="AY176" s="135"/>
      <c r="AZ176" s="135"/>
      <c r="BA176" s="135"/>
      <c r="BB176" s="135"/>
      <c r="BC176" s="134">
        <f>'Stavební rozpočet'!G177</f>
        <v>0</v>
      </c>
      <c r="BD176" s="135"/>
      <c r="BE176" s="135"/>
      <c r="BF176" s="135"/>
      <c r="BG176" s="135"/>
      <c r="BH176" s="135"/>
      <c r="BI176" s="135"/>
      <c r="BJ176" s="135"/>
      <c r="BK176" s="134">
        <f t="shared" si="3"/>
        <v>0</v>
      </c>
      <c r="BL176" s="135"/>
      <c r="BM176" s="135"/>
      <c r="BN176" s="135"/>
      <c r="BO176" s="135"/>
      <c r="BP176" s="135"/>
      <c r="BQ176" s="135"/>
      <c r="BR176" s="135"/>
      <c r="BS176" s="132" t="s">
        <v>1177</v>
      </c>
      <c r="BT176" s="133"/>
      <c r="BU176" s="133"/>
      <c r="BV176" s="133"/>
      <c r="BW176" s="133"/>
      <c r="BX176" s="133"/>
      <c r="IR176" s="46">
        <f t="shared" si="4"/>
        <v>0</v>
      </c>
      <c r="IS176" s="46">
        <f t="shared" si="5"/>
        <v>0</v>
      </c>
    </row>
    <row r="177" spans="1:253" ht="12.75">
      <c r="A177" s="132" t="s">
        <v>125</v>
      </c>
      <c r="B177" s="133"/>
      <c r="C177" s="132"/>
      <c r="D177" s="133"/>
      <c r="E177" s="133"/>
      <c r="F177" s="132" t="s">
        <v>502</v>
      </c>
      <c r="G177" s="133"/>
      <c r="H177" s="133"/>
      <c r="I177" s="133"/>
      <c r="J177" s="133"/>
      <c r="K177" s="133"/>
      <c r="L177" s="132" t="s">
        <v>901</v>
      </c>
      <c r="M177" s="133"/>
      <c r="N177" s="133"/>
      <c r="O177" s="133"/>
      <c r="P177" s="133"/>
      <c r="Q177" s="133"/>
      <c r="R177" s="133"/>
      <c r="S177" s="133"/>
      <c r="T177" s="133"/>
      <c r="U177" s="133"/>
      <c r="V177" s="133"/>
      <c r="W177" s="133"/>
      <c r="X177" s="133"/>
      <c r="Y177" s="133"/>
      <c r="Z177" s="133"/>
      <c r="AA177" s="133"/>
      <c r="AB177" s="133"/>
      <c r="AC177" s="133"/>
      <c r="AD177" s="133"/>
      <c r="AE177" s="133"/>
      <c r="AF177" s="133"/>
      <c r="AG177" s="133"/>
      <c r="AH177" s="133"/>
      <c r="AI177" s="133"/>
      <c r="AJ177" s="133"/>
      <c r="AK177" s="133"/>
      <c r="AL177" s="133"/>
      <c r="AM177" s="133"/>
      <c r="AN177" s="133"/>
      <c r="AO177" s="133"/>
      <c r="AP177" s="133"/>
      <c r="AQ177" s="133"/>
      <c r="AR177" s="133"/>
      <c r="AS177" s="133"/>
      <c r="AT177" s="133"/>
      <c r="AU177" s="133"/>
      <c r="AV177" s="132" t="s">
        <v>1155</v>
      </c>
      <c r="AW177" s="133"/>
      <c r="AX177" s="134">
        <f>'Stavební rozpočet'!F178</f>
        <v>25</v>
      </c>
      <c r="AY177" s="135"/>
      <c r="AZ177" s="135"/>
      <c r="BA177" s="135"/>
      <c r="BB177" s="135"/>
      <c r="BC177" s="134">
        <f>'Stavební rozpočet'!G178</f>
        <v>0</v>
      </c>
      <c r="BD177" s="135"/>
      <c r="BE177" s="135"/>
      <c r="BF177" s="135"/>
      <c r="BG177" s="135"/>
      <c r="BH177" s="135"/>
      <c r="BI177" s="135"/>
      <c r="BJ177" s="135"/>
      <c r="BK177" s="134">
        <f t="shared" si="3"/>
        <v>0</v>
      </c>
      <c r="BL177" s="135"/>
      <c r="BM177" s="135"/>
      <c r="BN177" s="135"/>
      <c r="BO177" s="135"/>
      <c r="BP177" s="135"/>
      <c r="BQ177" s="135"/>
      <c r="BR177" s="135"/>
      <c r="BS177" s="132" t="s">
        <v>1177</v>
      </c>
      <c r="BT177" s="133"/>
      <c r="BU177" s="133"/>
      <c r="BV177" s="133"/>
      <c r="BW177" s="133"/>
      <c r="BX177" s="133"/>
      <c r="IR177" s="46">
        <f t="shared" si="4"/>
        <v>0</v>
      </c>
      <c r="IS177" s="46">
        <f t="shared" si="5"/>
        <v>0</v>
      </c>
    </row>
    <row r="178" spans="1:253" ht="12.75">
      <c r="A178" s="132" t="s">
        <v>126</v>
      </c>
      <c r="B178" s="133"/>
      <c r="C178" s="132"/>
      <c r="D178" s="133"/>
      <c r="E178" s="133"/>
      <c r="F178" s="132" t="s">
        <v>503</v>
      </c>
      <c r="G178" s="133"/>
      <c r="H178" s="133"/>
      <c r="I178" s="133"/>
      <c r="J178" s="133"/>
      <c r="K178" s="133"/>
      <c r="L178" s="132" t="s">
        <v>902</v>
      </c>
      <c r="M178" s="133"/>
      <c r="N178" s="133"/>
      <c r="O178" s="133"/>
      <c r="P178" s="133"/>
      <c r="Q178" s="133"/>
      <c r="R178" s="133"/>
      <c r="S178" s="133"/>
      <c r="T178" s="133"/>
      <c r="U178" s="133"/>
      <c r="V178" s="133"/>
      <c r="W178" s="133"/>
      <c r="X178" s="133"/>
      <c r="Y178" s="133"/>
      <c r="Z178" s="133"/>
      <c r="AA178" s="133"/>
      <c r="AB178" s="133"/>
      <c r="AC178" s="133"/>
      <c r="AD178" s="133"/>
      <c r="AE178" s="133"/>
      <c r="AF178" s="133"/>
      <c r="AG178" s="133"/>
      <c r="AH178" s="133"/>
      <c r="AI178" s="133"/>
      <c r="AJ178" s="133"/>
      <c r="AK178" s="133"/>
      <c r="AL178" s="133"/>
      <c r="AM178" s="133"/>
      <c r="AN178" s="133"/>
      <c r="AO178" s="133"/>
      <c r="AP178" s="133"/>
      <c r="AQ178" s="133"/>
      <c r="AR178" s="133"/>
      <c r="AS178" s="133"/>
      <c r="AT178" s="133"/>
      <c r="AU178" s="133"/>
      <c r="AV178" s="132" t="s">
        <v>1153</v>
      </c>
      <c r="AW178" s="133"/>
      <c r="AX178" s="134">
        <f>'Stavební rozpočet'!F179</f>
        <v>1</v>
      </c>
      <c r="AY178" s="135"/>
      <c r="AZ178" s="135"/>
      <c r="BA178" s="135"/>
      <c r="BB178" s="135"/>
      <c r="BC178" s="134">
        <f>'Stavební rozpočet'!G179</f>
        <v>0</v>
      </c>
      <c r="BD178" s="135"/>
      <c r="BE178" s="135"/>
      <c r="BF178" s="135"/>
      <c r="BG178" s="135"/>
      <c r="BH178" s="135"/>
      <c r="BI178" s="135"/>
      <c r="BJ178" s="135"/>
      <c r="BK178" s="134">
        <f t="shared" si="3"/>
        <v>0</v>
      </c>
      <c r="BL178" s="135"/>
      <c r="BM178" s="135"/>
      <c r="BN178" s="135"/>
      <c r="BO178" s="135"/>
      <c r="BP178" s="135"/>
      <c r="BQ178" s="135"/>
      <c r="BR178" s="135"/>
      <c r="BS178" s="132" t="s">
        <v>1177</v>
      </c>
      <c r="BT178" s="133"/>
      <c r="BU178" s="133"/>
      <c r="BV178" s="133"/>
      <c r="BW178" s="133"/>
      <c r="BX178" s="133"/>
      <c r="IR178" s="46">
        <f t="shared" si="4"/>
        <v>0</v>
      </c>
      <c r="IS178" s="46">
        <f t="shared" si="5"/>
        <v>0</v>
      </c>
    </row>
    <row r="179" spans="1:253" ht="12.75">
      <c r="A179" s="132" t="s">
        <v>127</v>
      </c>
      <c r="B179" s="133"/>
      <c r="C179" s="132"/>
      <c r="D179" s="133"/>
      <c r="E179" s="133"/>
      <c r="F179" s="132" t="s">
        <v>504</v>
      </c>
      <c r="G179" s="133"/>
      <c r="H179" s="133"/>
      <c r="I179" s="133"/>
      <c r="J179" s="133"/>
      <c r="K179" s="133"/>
      <c r="L179" s="132" t="s">
        <v>903</v>
      </c>
      <c r="M179" s="133"/>
      <c r="N179" s="133"/>
      <c r="O179" s="133"/>
      <c r="P179" s="133"/>
      <c r="Q179" s="133"/>
      <c r="R179" s="133"/>
      <c r="S179" s="133"/>
      <c r="T179" s="133"/>
      <c r="U179" s="133"/>
      <c r="V179" s="133"/>
      <c r="W179" s="133"/>
      <c r="X179" s="133"/>
      <c r="Y179" s="133"/>
      <c r="Z179" s="133"/>
      <c r="AA179" s="133"/>
      <c r="AB179" s="133"/>
      <c r="AC179" s="133"/>
      <c r="AD179" s="133"/>
      <c r="AE179" s="133"/>
      <c r="AF179" s="133"/>
      <c r="AG179" s="133"/>
      <c r="AH179" s="133"/>
      <c r="AI179" s="133"/>
      <c r="AJ179" s="133"/>
      <c r="AK179" s="133"/>
      <c r="AL179" s="133"/>
      <c r="AM179" s="133"/>
      <c r="AN179" s="133"/>
      <c r="AO179" s="133"/>
      <c r="AP179" s="133"/>
      <c r="AQ179" s="133"/>
      <c r="AR179" s="133"/>
      <c r="AS179" s="133"/>
      <c r="AT179" s="133"/>
      <c r="AU179" s="133"/>
      <c r="AV179" s="132" t="s">
        <v>1153</v>
      </c>
      <c r="AW179" s="133"/>
      <c r="AX179" s="134">
        <f>'Stavební rozpočet'!F180</f>
        <v>1</v>
      </c>
      <c r="AY179" s="135"/>
      <c r="AZ179" s="135"/>
      <c r="BA179" s="135"/>
      <c r="BB179" s="135"/>
      <c r="BC179" s="134">
        <f>'Stavební rozpočet'!G180</f>
        <v>0</v>
      </c>
      <c r="BD179" s="135"/>
      <c r="BE179" s="135"/>
      <c r="BF179" s="135"/>
      <c r="BG179" s="135"/>
      <c r="BH179" s="135"/>
      <c r="BI179" s="135"/>
      <c r="BJ179" s="135"/>
      <c r="BK179" s="134">
        <f t="shared" si="3"/>
        <v>0</v>
      </c>
      <c r="BL179" s="135"/>
      <c r="BM179" s="135"/>
      <c r="BN179" s="135"/>
      <c r="BO179" s="135"/>
      <c r="BP179" s="135"/>
      <c r="BQ179" s="135"/>
      <c r="BR179" s="135"/>
      <c r="BS179" s="132" t="s">
        <v>1177</v>
      </c>
      <c r="BT179" s="133"/>
      <c r="BU179" s="133"/>
      <c r="BV179" s="133"/>
      <c r="BW179" s="133"/>
      <c r="BX179" s="133"/>
      <c r="IR179" s="46">
        <f t="shared" si="4"/>
        <v>0</v>
      </c>
      <c r="IS179" s="46">
        <f t="shared" si="5"/>
        <v>0</v>
      </c>
    </row>
    <row r="180" spans="1:253" ht="12.75">
      <c r="A180" s="132" t="s">
        <v>128</v>
      </c>
      <c r="B180" s="133"/>
      <c r="C180" s="132"/>
      <c r="D180" s="133"/>
      <c r="E180" s="133"/>
      <c r="F180" s="132" t="s">
        <v>505</v>
      </c>
      <c r="G180" s="133"/>
      <c r="H180" s="133"/>
      <c r="I180" s="133"/>
      <c r="J180" s="133"/>
      <c r="K180" s="133"/>
      <c r="L180" s="132" t="s">
        <v>904</v>
      </c>
      <c r="M180" s="133"/>
      <c r="N180" s="133"/>
      <c r="O180" s="133"/>
      <c r="P180" s="133"/>
      <c r="Q180" s="133"/>
      <c r="R180" s="133"/>
      <c r="S180" s="133"/>
      <c r="T180" s="133"/>
      <c r="U180" s="133"/>
      <c r="V180" s="133"/>
      <c r="W180" s="133"/>
      <c r="X180" s="133"/>
      <c r="Y180" s="133"/>
      <c r="Z180" s="133"/>
      <c r="AA180" s="133"/>
      <c r="AB180" s="133"/>
      <c r="AC180" s="133"/>
      <c r="AD180" s="133"/>
      <c r="AE180" s="133"/>
      <c r="AF180" s="133"/>
      <c r="AG180" s="133"/>
      <c r="AH180" s="133"/>
      <c r="AI180" s="133"/>
      <c r="AJ180" s="133"/>
      <c r="AK180" s="133"/>
      <c r="AL180" s="133"/>
      <c r="AM180" s="133"/>
      <c r="AN180" s="133"/>
      <c r="AO180" s="133"/>
      <c r="AP180" s="133"/>
      <c r="AQ180" s="133"/>
      <c r="AR180" s="133"/>
      <c r="AS180" s="133"/>
      <c r="AT180" s="133"/>
      <c r="AU180" s="133"/>
      <c r="AV180" s="132" t="s">
        <v>1153</v>
      </c>
      <c r="AW180" s="133"/>
      <c r="AX180" s="134">
        <f>'Stavební rozpočet'!F181</f>
        <v>1</v>
      </c>
      <c r="AY180" s="135"/>
      <c r="AZ180" s="135"/>
      <c r="BA180" s="135"/>
      <c r="BB180" s="135"/>
      <c r="BC180" s="134">
        <f>'Stavební rozpočet'!G181</f>
        <v>0</v>
      </c>
      <c r="BD180" s="135"/>
      <c r="BE180" s="135"/>
      <c r="BF180" s="135"/>
      <c r="BG180" s="135"/>
      <c r="BH180" s="135"/>
      <c r="BI180" s="135"/>
      <c r="BJ180" s="135"/>
      <c r="BK180" s="134">
        <f t="shared" si="3"/>
        <v>0</v>
      </c>
      <c r="BL180" s="135"/>
      <c r="BM180" s="135"/>
      <c r="BN180" s="135"/>
      <c r="BO180" s="135"/>
      <c r="BP180" s="135"/>
      <c r="BQ180" s="135"/>
      <c r="BR180" s="135"/>
      <c r="BS180" s="132" t="s">
        <v>1177</v>
      </c>
      <c r="BT180" s="133"/>
      <c r="BU180" s="133"/>
      <c r="BV180" s="133"/>
      <c r="BW180" s="133"/>
      <c r="BX180" s="133"/>
      <c r="IR180" s="46">
        <f t="shared" si="4"/>
        <v>0</v>
      </c>
      <c r="IS180" s="46">
        <f t="shared" si="5"/>
        <v>0</v>
      </c>
    </row>
    <row r="181" spans="1:76" ht="12.75">
      <c r="A181" s="136" t="s">
        <v>6</v>
      </c>
      <c r="B181" s="137"/>
      <c r="C181" s="136" t="s">
        <v>6</v>
      </c>
      <c r="D181" s="137"/>
      <c r="E181" s="137"/>
      <c r="F181" s="136" t="s">
        <v>506</v>
      </c>
      <c r="G181" s="137"/>
      <c r="H181" s="137"/>
      <c r="I181" s="137"/>
      <c r="J181" s="137"/>
      <c r="K181" s="137"/>
      <c r="L181" s="136" t="s">
        <v>905</v>
      </c>
      <c r="M181" s="137"/>
      <c r="N181" s="137"/>
      <c r="O181" s="137"/>
      <c r="P181" s="137"/>
      <c r="Q181" s="137"/>
      <c r="R181" s="137"/>
      <c r="S181" s="137"/>
      <c r="T181" s="137"/>
      <c r="U181" s="137"/>
      <c r="V181" s="137"/>
      <c r="W181" s="137"/>
      <c r="X181" s="137"/>
      <c r="Y181" s="137"/>
      <c r="Z181" s="137"/>
      <c r="AA181" s="137"/>
      <c r="AB181" s="137"/>
      <c r="AC181" s="137"/>
      <c r="AD181" s="137"/>
      <c r="AE181" s="137"/>
      <c r="AF181" s="137"/>
      <c r="AG181" s="137"/>
      <c r="AH181" s="137"/>
      <c r="AI181" s="137"/>
      <c r="AJ181" s="137"/>
      <c r="AK181" s="137"/>
      <c r="AL181" s="137"/>
      <c r="AM181" s="137"/>
      <c r="AN181" s="137"/>
      <c r="AO181" s="137"/>
      <c r="AP181" s="137"/>
      <c r="AQ181" s="137"/>
      <c r="AR181" s="137"/>
      <c r="AS181" s="137"/>
      <c r="AT181" s="137"/>
      <c r="AU181" s="137"/>
      <c r="AV181" s="136" t="s">
        <v>6</v>
      </c>
      <c r="AW181" s="137"/>
      <c r="AX181" s="138" t="s">
        <v>6</v>
      </c>
      <c r="AY181" s="139"/>
      <c r="AZ181" s="139"/>
      <c r="BA181" s="139"/>
      <c r="BB181" s="139"/>
      <c r="BC181" s="138" t="s">
        <v>6</v>
      </c>
      <c r="BD181" s="139"/>
      <c r="BE181" s="139"/>
      <c r="BF181" s="139"/>
      <c r="BG181" s="139"/>
      <c r="BH181" s="139"/>
      <c r="BI181" s="139"/>
      <c r="BJ181" s="139"/>
      <c r="BK181" s="140">
        <f>SUM(BK182:BK230)</f>
        <v>0</v>
      </c>
      <c r="BL181" s="139"/>
      <c r="BM181" s="139"/>
      <c r="BN181" s="139"/>
      <c r="BO181" s="139"/>
      <c r="BP181" s="139"/>
      <c r="BQ181" s="139"/>
      <c r="BR181" s="139"/>
      <c r="BS181" s="136" t="s">
        <v>6</v>
      </c>
      <c r="BT181" s="137"/>
      <c r="BU181" s="137"/>
      <c r="BV181" s="137"/>
      <c r="BW181" s="137"/>
      <c r="BX181" s="137"/>
    </row>
    <row r="182" spans="1:253" ht="12.75">
      <c r="A182" s="132" t="s">
        <v>129</v>
      </c>
      <c r="B182" s="133"/>
      <c r="C182" s="132"/>
      <c r="D182" s="133"/>
      <c r="E182" s="133"/>
      <c r="F182" s="132" t="s">
        <v>464</v>
      </c>
      <c r="G182" s="133"/>
      <c r="H182" s="133"/>
      <c r="I182" s="133"/>
      <c r="J182" s="133"/>
      <c r="K182" s="133"/>
      <c r="L182" s="132" t="s">
        <v>906</v>
      </c>
      <c r="M182" s="133"/>
      <c r="N182" s="133"/>
      <c r="O182" s="133"/>
      <c r="P182" s="133"/>
      <c r="Q182" s="133"/>
      <c r="R182" s="133"/>
      <c r="S182" s="133"/>
      <c r="T182" s="133"/>
      <c r="U182" s="133"/>
      <c r="V182" s="133"/>
      <c r="W182" s="133"/>
      <c r="X182" s="133"/>
      <c r="Y182" s="133"/>
      <c r="Z182" s="133"/>
      <c r="AA182" s="133"/>
      <c r="AB182" s="133"/>
      <c r="AC182" s="133"/>
      <c r="AD182" s="133"/>
      <c r="AE182" s="133"/>
      <c r="AF182" s="133"/>
      <c r="AG182" s="133"/>
      <c r="AH182" s="133"/>
      <c r="AI182" s="133"/>
      <c r="AJ182" s="133"/>
      <c r="AK182" s="133"/>
      <c r="AL182" s="133"/>
      <c r="AM182" s="133"/>
      <c r="AN182" s="133"/>
      <c r="AO182" s="133"/>
      <c r="AP182" s="133"/>
      <c r="AQ182" s="133"/>
      <c r="AR182" s="133"/>
      <c r="AS182" s="133"/>
      <c r="AT182" s="133"/>
      <c r="AU182" s="133"/>
      <c r="AV182" s="132" t="s">
        <v>1154</v>
      </c>
      <c r="AW182" s="133"/>
      <c r="AX182" s="134">
        <f>'Stavební rozpočet'!F183</f>
        <v>6.1</v>
      </c>
      <c r="AY182" s="135"/>
      <c r="AZ182" s="135"/>
      <c r="BA182" s="135"/>
      <c r="BB182" s="135"/>
      <c r="BC182" s="134">
        <f>'Stavební rozpočet'!G183</f>
        <v>0</v>
      </c>
      <c r="BD182" s="135"/>
      <c r="BE182" s="135"/>
      <c r="BF182" s="135"/>
      <c r="BG182" s="135"/>
      <c r="BH182" s="135"/>
      <c r="BI182" s="135"/>
      <c r="BJ182" s="135"/>
      <c r="BK182" s="134">
        <f aca="true" t="shared" si="6" ref="BK182:BK213">IR182*AX182+IS182*AX182</f>
        <v>0</v>
      </c>
      <c r="BL182" s="135"/>
      <c r="BM182" s="135"/>
      <c r="BN182" s="135"/>
      <c r="BO182" s="135"/>
      <c r="BP182" s="135"/>
      <c r="BQ182" s="135"/>
      <c r="BR182" s="135"/>
      <c r="BS182" s="132" t="s">
        <v>1177</v>
      </c>
      <c r="BT182" s="133"/>
      <c r="BU182" s="133"/>
      <c r="BV182" s="133"/>
      <c r="BW182" s="133"/>
      <c r="BX182" s="133"/>
      <c r="IR182" s="46">
        <f aca="true" t="shared" si="7" ref="IR182:IR213">BC182*0</f>
        <v>0</v>
      </c>
      <c r="IS182" s="46">
        <f aca="true" t="shared" si="8" ref="IS182:IS213">BC182*(1-0)</f>
        <v>0</v>
      </c>
    </row>
    <row r="183" spans="1:253" ht="12.75">
      <c r="A183" s="132" t="s">
        <v>130</v>
      </c>
      <c r="B183" s="133"/>
      <c r="C183" s="132"/>
      <c r="D183" s="133"/>
      <c r="E183" s="133"/>
      <c r="F183" s="132" t="s">
        <v>465</v>
      </c>
      <c r="G183" s="133"/>
      <c r="H183" s="133"/>
      <c r="I183" s="133"/>
      <c r="J183" s="133"/>
      <c r="K183" s="133"/>
      <c r="L183" s="132" t="s">
        <v>863</v>
      </c>
      <c r="M183" s="133"/>
      <c r="N183" s="133"/>
      <c r="O183" s="133"/>
      <c r="P183" s="133"/>
      <c r="Q183" s="133"/>
      <c r="R183" s="133"/>
      <c r="S183" s="133"/>
      <c r="T183" s="133"/>
      <c r="U183" s="133"/>
      <c r="V183" s="133"/>
      <c r="W183" s="133"/>
      <c r="X183" s="133"/>
      <c r="Y183" s="133"/>
      <c r="Z183" s="133"/>
      <c r="AA183" s="133"/>
      <c r="AB183" s="133"/>
      <c r="AC183" s="133"/>
      <c r="AD183" s="133"/>
      <c r="AE183" s="133"/>
      <c r="AF183" s="133"/>
      <c r="AG183" s="133"/>
      <c r="AH183" s="133"/>
      <c r="AI183" s="133"/>
      <c r="AJ183" s="133"/>
      <c r="AK183" s="133"/>
      <c r="AL183" s="133"/>
      <c r="AM183" s="133"/>
      <c r="AN183" s="133"/>
      <c r="AO183" s="133"/>
      <c r="AP183" s="133"/>
      <c r="AQ183" s="133"/>
      <c r="AR183" s="133"/>
      <c r="AS183" s="133"/>
      <c r="AT183" s="133"/>
      <c r="AU183" s="133"/>
      <c r="AV183" s="132" t="s">
        <v>1153</v>
      </c>
      <c r="AW183" s="133"/>
      <c r="AX183" s="134">
        <f>'Stavební rozpočet'!F184</f>
        <v>1</v>
      </c>
      <c r="AY183" s="135"/>
      <c r="AZ183" s="135"/>
      <c r="BA183" s="135"/>
      <c r="BB183" s="135"/>
      <c r="BC183" s="134">
        <f>'Stavební rozpočet'!G184</f>
        <v>0</v>
      </c>
      <c r="BD183" s="135"/>
      <c r="BE183" s="135"/>
      <c r="BF183" s="135"/>
      <c r="BG183" s="135"/>
      <c r="BH183" s="135"/>
      <c r="BI183" s="135"/>
      <c r="BJ183" s="135"/>
      <c r="BK183" s="134">
        <f t="shared" si="6"/>
        <v>0</v>
      </c>
      <c r="BL183" s="135"/>
      <c r="BM183" s="135"/>
      <c r="BN183" s="135"/>
      <c r="BO183" s="135"/>
      <c r="BP183" s="135"/>
      <c r="BQ183" s="135"/>
      <c r="BR183" s="135"/>
      <c r="BS183" s="132" t="s">
        <v>1177</v>
      </c>
      <c r="BT183" s="133"/>
      <c r="BU183" s="133"/>
      <c r="BV183" s="133"/>
      <c r="BW183" s="133"/>
      <c r="BX183" s="133"/>
      <c r="IR183" s="46">
        <f t="shared" si="7"/>
        <v>0</v>
      </c>
      <c r="IS183" s="46">
        <f t="shared" si="8"/>
        <v>0</v>
      </c>
    </row>
    <row r="184" spans="1:253" ht="12.75">
      <c r="A184" s="132" t="s">
        <v>131</v>
      </c>
      <c r="B184" s="133"/>
      <c r="C184" s="132"/>
      <c r="D184" s="133"/>
      <c r="E184" s="133"/>
      <c r="F184" s="132" t="s">
        <v>466</v>
      </c>
      <c r="G184" s="133"/>
      <c r="H184" s="133"/>
      <c r="I184" s="133"/>
      <c r="J184" s="133"/>
      <c r="K184" s="133"/>
      <c r="L184" s="132" t="s">
        <v>864</v>
      </c>
      <c r="M184" s="133"/>
      <c r="N184" s="133"/>
      <c r="O184" s="133"/>
      <c r="P184" s="133"/>
      <c r="Q184" s="133"/>
      <c r="R184" s="133"/>
      <c r="S184" s="133"/>
      <c r="T184" s="133"/>
      <c r="U184" s="133"/>
      <c r="V184" s="133"/>
      <c r="W184" s="133"/>
      <c r="X184" s="133"/>
      <c r="Y184" s="133"/>
      <c r="Z184" s="133"/>
      <c r="AA184" s="133"/>
      <c r="AB184" s="133"/>
      <c r="AC184" s="133"/>
      <c r="AD184" s="133"/>
      <c r="AE184" s="133"/>
      <c r="AF184" s="133"/>
      <c r="AG184" s="133"/>
      <c r="AH184" s="133"/>
      <c r="AI184" s="133"/>
      <c r="AJ184" s="133"/>
      <c r="AK184" s="133"/>
      <c r="AL184" s="133"/>
      <c r="AM184" s="133"/>
      <c r="AN184" s="133"/>
      <c r="AO184" s="133"/>
      <c r="AP184" s="133"/>
      <c r="AQ184" s="133"/>
      <c r="AR184" s="133"/>
      <c r="AS184" s="133"/>
      <c r="AT184" s="133"/>
      <c r="AU184" s="133"/>
      <c r="AV184" s="132" t="s">
        <v>1154</v>
      </c>
      <c r="AW184" s="133"/>
      <c r="AX184" s="134">
        <f>'Stavební rozpočet'!F185</f>
        <v>6.1</v>
      </c>
      <c r="AY184" s="135"/>
      <c r="AZ184" s="135"/>
      <c r="BA184" s="135"/>
      <c r="BB184" s="135"/>
      <c r="BC184" s="134">
        <f>'Stavební rozpočet'!G185</f>
        <v>0</v>
      </c>
      <c r="BD184" s="135"/>
      <c r="BE184" s="135"/>
      <c r="BF184" s="135"/>
      <c r="BG184" s="135"/>
      <c r="BH184" s="135"/>
      <c r="BI184" s="135"/>
      <c r="BJ184" s="135"/>
      <c r="BK184" s="134">
        <f t="shared" si="6"/>
        <v>0</v>
      </c>
      <c r="BL184" s="135"/>
      <c r="BM184" s="135"/>
      <c r="BN184" s="135"/>
      <c r="BO184" s="135"/>
      <c r="BP184" s="135"/>
      <c r="BQ184" s="135"/>
      <c r="BR184" s="135"/>
      <c r="BS184" s="132" t="s">
        <v>1177</v>
      </c>
      <c r="BT184" s="133"/>
      <c r="BU184" s="133"/>
      <c r="BV184" s="133"/>
      <c r="BW184" s="133"/>
      <c r="BX184" s="133"/>
      <c r="IR184" s="46">
        <f t="shared" si="7"/>
        <v>0</v>
      </c>
      <c r="IS184" s="46">
        <f t="shared" si="8"/>
        <v>0</v>
      </c>
    </row>
    <row r="185" spans="1:253" ht="12.75">
      <c r="A185" s="132" t="s">
        <v>132</v>
      </c>
      <c r="B185" s="133"/>
      <c r="C185" s="132"/>
      <c r="D185" s="133"/>
      <c r="E185" s="133"/>
      <c r="F185" s="132" t="s">
        <v>467</v>
      </c>
      <c r="G185" s="133"/>
      <c r="H185" s="133"/>
      <c r="I185" s="133"/>
      <c r="J185" s="133"/>
      <c r="K185" s="133"/>
      <c r="L185" s="132" t="s">
        <v>865</v>
      </c>
      <c r="M185" s="133"/>
      <c r="N185" s="133"/>
      <c r="O185" s="133"/>
      <c r="P185" s="133"/>
      <c r="Q185" s="133"/>
      <c r="R185" s="133"/>
      <c r="S185" s="133"/>
      <c r="T185" s="133"/>
      <c r="U185" s="133"/>
      <c r="V185" s="133"/>
      <c r="W185" s="133"/>
      <c r="X185" s="133"/>
      <c r="Y185" s="133"/>
      <c r="Z185" s="133"/>
      <c r="AA185" s="133"/>
      <c r="AB185" s="133"/>
      <c r="AC185" s="133"/>
      <c r="AD185" s="133"/>
      <c r="AE185" s="133"/>
      <c r="AF185" s="133"/>
      <c r="AG185" s="133"/>
      <c r="AH185" s="133"/>
      <c r="AI185" s="133"/>
      <c r="AJ185" s="133"/>
      <c r="AK185" s="133"/>
      <c r="AL185" s="133"/>
      <c r="AM185" s="133"/>
      <c r="AN185" s="133"/>
      <c r="AO185" s="133"/>
      <c r="AP185" s="133"/>
      <c r="AQ185" s="133"/>
      <c r="AR185" s="133"/>
      <c r="AS185" s="133"/>
      <c r="AT185" s="133"/>
      <c r="AU185" s="133"/>
      <c r="AV185" s="132" t="s">
        <v>1154</v>
      </c>
      <c r="AW185" s="133"/>
      <c r="AX185" s="134">
        <f>'Stavební rozpočet'!F186</f>
        <v>6.1</v>
      </c>
      <c r="AY185" s="135"/>
      <c r="AZ185" s="135"/>
      <c r="BA185" s="135"/>
      <c r="BB185" s="135"/>
      <c r="BC185" s="134">
        <f>'Stavební rozpočet'!G186</f>
        <v>0</v>
      </c>
      <c r="BD185" s="135"/>
      <c r="BE185" s="135"/>
      <c r="BF185" s="135"/>
      <c r="BG185" s="135"/>
      <c r="BH185" s="135"/>
      <c r="BI185" s="135"/>
      <c r="BJ185" s="135"/>
      <c r="BK185" s="134">
        <f t="shared" si="6"/>
        <v>0</v>
      </c>
      <c r="BL185" s="135"/>
      <c r="BM185" s="135"/>
      <c r="BN185" s="135"/>
      <c r="BO185" s="135"/>
      <c r="BP185" s="135"/>
      <c r="BQ185" s="135"/>
      <c r="BR185" s="135"/>
      <c r="BS185" s="132" t="s">
        <v>1177</v>
      </c>
      <c r="BT185" s="133"/>
      <c r="BU185" s="133"/>
      <c r="BV185" s="133"/>
      <c r="BW185" s="133"/>
      <c r="BX185" s="133"/>
      <c r="IR185" s="46">
        <f t="shared" si="7"/>
        <v>0</v>
      </c>
      <c r="IS185" s="46">
        <f t="shared" si="8"/>
        <v>0</v>
      </c>
    </row>
    <row r="186" spans="1:253" ht="12.75">
      <c r="A186" s="132" t="s">
        <v>133</v>
      </c>
      <c r="B186" s="133"/>
      <c r="C186" s="132"/>
      <c r="D186" s="133"/>
      <c r="E186" s="133"/>
      <c r="F186" s="132" t="s">
        <v>468</v>
      </c>
      <c r="G186" s="133"/>
      <c r="H186" s="133"/>
      <c r="I186" s="133"/>
      <c r="J186" s="133"/>
      <c r="K186" s="133"/>
      <c r="L186" s="132" t="s">
        <v>866</v>
      </c>
      <c r="M186" s="133"/>
      <c r="N186" s="133"/>
      <c r="O186" s="133"/>
      <c r="P186" s="133"/>
      <c r="Q186" s="133"/>
      <c r="R186" s="133"/>
      <c r="S186" s="133"/>
      <c r="T186" s="133"/>
      <c r="U186" s="133"/>
      <c r="V186" s="133"/>
      <c r="W186" s="133"/>
      <c r="X186" s="133"/>
      <c r="Y186" s="133"/>
      <c r="Z186" s="133"/>
      <c r="AA186" s="133"/>
      <c r="AB186" s="133"/>
      <c r="AC186" s="133"/>
      <c r="AD186" s="133"/>
      <c r="AE186" s="133"/>
      <c r="AF186" s="133"/>
      <c r="AG186" s="133"/>
      <c r="AH186" s="133"/>
      <c r="AI186" s="133"/>
      <c r="AJ186" s="133"/>
      <c r="AK186" s="133"/>
      <c r="AL186" s="133"/>
      <c r="AM186" s="133"/>
      <c r="AN186" s="133"/>
      <c r="AO186" s="133"/>
      <c r="AP186" s="133"/>
      <c r="AQ186" s="133"/>
      <c r="AR186" s="133"/>
      <c r="AS186" s="133"/>
      <c r="AT186" s="133"/>
      <c r="AU186" s="133"/>
      <c r="AV186" s="132" t="s">
        <v>1154</v>
      </c>
      <c r="AW186" s="133"/>
      <c r="AX186" s="134">
        <f>'Stavební rozpočet'!F187</f>
        <v>6.1</v>
      </c>
      <c r="AY186" s="135"/>
      <c r="AZ186" s="135"/>
      <c r="BA186" s="135"/>
      <c r="BB186" s="135"/>
      <c r="BC186" s="134">
        <f>'Stavební rozpočet'!G187</f>
        <v>0</v>
      </c>
      <c r="BD186" s="135"/>
      <c r="BE186" s="135"/>
      <c r="BF186" s="135"/>
      <c r="BG186" s="135"/>
      <c r="BH186" s="135"/>
      <c r="BI186" s="135"/>
      <c r="BJ186" s="135"/>
      <c r="BK186" s="134">
        <f t="shared" si="6"/>
        <v>0</v>
      </c>
      <c r="BL186" s="135"/>
      <c r="BM186" s="135"/>
      <c r="BN186" s="135"/>
      <c r="BO186" s="135"/>
      <c r="BP186" s="135"/>
      <c r="BQ186" s="135"/>
      <c r="BR186" s="135"/>
      <c r="BS186" s="132" t="s">
        <v>1177</v>
      </c>
      <c r="BT186" s="133"/>
      <c r="BU186" s="133"/>
      <c r="BV186" s="133"/>
      <c r="BW186" s="133"/>
      <c r="BX186" s="133"/>
      <c r="IR186" s="46">
        <f t="shared" si="7"/>
        <v>0</v>
      </c>
      <c r="IS186" s="46">
        <f t="shared" si="8"/>
        <v>0</v>
      </c>
    </row>
    <row r="187" spans="1:253" ht="12.75">
      <c r="A187" s="132" t="s">
        <v>134</v>
      </c>
      <c r="B187" s="133"/>
      <c r="C187" s="132"/>
      <c r="D187" s="133"/>
      <c r="E187" s="133"/>
      <c r="F187" s="132" t="s">
        <v>469</v>
      </c>
      <c r="G187" s="133"/>
      <c r="H187" s="133"/>
      <c r="I187" s="133"/>
      <c r="J187" s="133"/>
      <c r="K187" s="133"/>
      <c r="L187" s="132" t="s">
        <v>907</v>
      </c>
      <c r="M187" s="133"/>
      <c r="N187" s="133"/>
      <c r="O187" s="133"/>
      <c r="P187" s="133"/>
      <c r="Q187" s="133"/>
      <c r="R187" s="133"/>
      <c r="S187" s="133"/>
      <c r="T187" s="133"/>
      <c r="U187" s="133"/>
      <c r="V187" s="133"/>
      <c r="W187" s="133"/>
      <c r="X187" s="133"/>
      <c r="Y187" s="133"/>
      <c r="Z187" s="133"/>
      <c r="AA187" s="133"/>
      <c r="AB187" s="133"/>
      <c r="AC187" s="133"/>
      <c r="AD187" s="133"/>
      <c r="AE187" s="133"/>
      <c r="AF187" s="133"/>
      <c r="AG187" s="133"/>
      <c r="AH187" s="133"/>
      <c r="AI187" s="133"/>
      <c r="AJ187" s="133"/>
      <c r="AK187" s="133"/>
      <c r="AL187" s="133"/>
      <c r="AM187" s="133"/>
      <c r="AN187" s="133"/>
      <c r="AO187" s="133"/>
      <c r="AP187" s="133"/>
      <c r="AQ187" s="133"/>
      <c r="AR187" s="133"/>
      <c r="AS187" s="133"/>
      <c r="AT187" s="133"/>
      <c r="AU187" s="133"/>
      <c r="AV187" s="132" t="s">
        <v>1153</v>
      </c>
      <c r="AW187" s="133"/>
      <c r="AX187" s="134">
        <f>'Stavební rozpočet'!F188</f>
        <v>1</v>
      </c>
      <c r="AY187" s="135"/>
      <c r="AZ187" s="135"/>
      <c r="BA187" s="135"/>
      <c r="BB187" s="135"/>
      <c r="BC187" s="134">
        <f>'Stavební rozpočet'!G188</f>
        <v>0</v>
      </c>
      <c r="BD187" s="135"/>
      <c r="BE187" s="135"/>
      <c r="BF187" s="135"/>
      <c r="BG187" s="135"/>
      <c r="BH187" s="135"/>
      <c r="BI187" s="135"/>
      <c r="BJ187" s="135"/>
      <c r="BK187" s="134">
        <f t="shared" si="6"/>
        <v>0</v>
      </c>
      <c r="BL187" s="135"/>
      <c r="BM187" s="135"/>
      <c r="BN187" s="135"/>
      <c r="BO187" s="135"/>
      <c r="BP187" s="135"/>
      <c r="BQ187" s="135"/>
      <c r="BR187" s="135"/>
      <c r="BS187" s="132" t="s">
        <v>1177</v>
      </c>
      <c r="BT187" s="133"/>
      <c r="BU187" s="133"/>
      <c r="BV187" s="133"/>
      <c r="BW187" s="133"/>
      <c r="BX187" s="133"/>
      <c r="IR187" s="46">
        <f t="shared" si="7"/>
        <v>0</v>
      </c>
      <c r="IS187" s="46">
        <f t="shared" si="8"/>
        <v>0</v>
      </c>
    </row>
    <row r="188" spans="1:253" ht="12.75">
      <c r="A188" s="132" t="s">
        <v>135</v>
      </c>
      <c r="B188" s="133"/>
      <c r="C188" s="132"/>
      <c r="D188" s="133"/>
      <c r="E188" s="133"/>
      <c r="F188" s="132" t="s">
        <v>507</v>
      </c>
      <c r="G188" s="133"/>
      <c r="H188" s="133"/>
      <c r="I188" s="133"/>
      <c r="J188" s="133"/>
      <c r="K188" s="133"/>
      <c r="L188" s="132" t="s">
        <v>908</v>
      </c>
      <c r="M188" s="133"/>
      <c r="N188" s="133"/>
      <c r="O188" s="133"/>
      <c r="P188" s="133"/>
      <c r="Q188" s="133"/>
      <c r="R188" s="133"/>
      <c r="S188" s="133"/>
      <c r="T188" s="133"/>
      <c r="U188" s="133"/>
      <c r="V188" s="133"/>
      <c r="W188" s="133"/>
      <c r="X188" s="133"/>
      <c r="Y188" s="133"/>
      <c r="Z188" s="133"/>
      <c r="AA188" s="133"/>
      <c r="AB188" s="133"/>
      <c r="AC188" s="133"/>
      <c r="AD188" s="133"/>
      <c r="AE188" s="133"/>
      <c r="AF188" s="133"/>
      <c r="AG188" s="133"/>
      <c r="AH188" s="133"/>
      <c r="AI188" s="133"/>
      <c r="AJ188" s="133"/>
      <c r="AK188" s="133"/>
      <c r="AL188" s="133"/>
      <c r="AM188" s="133"/>
      <c r="AN188" s="133"/>
      <c r="AO188" s="133"/>
      <c r="AP188" s="133"/>
      <c r="AQ188" s="133"/>
      <c r="AR188" s="133"/>
      <c r="AS188" s="133"/>
      <c r="AT188" s="133"/>
      <c r="AU188" s="133"/>
      <c r="AV188" s="132" t="s">
        <v>1153</v>
      </c>
      <c r="AW188" s="133"/>
      <c r="AX188" s="134">
        <f>'Stavební rozpočet'!F189</f>
        <v>1</v>
      </c>
      <c r="AY188" s="135"/>
      <c r="AZ188" s="135"/>
      <c r="BA188" s="135"/>
      <c r="BB188" s="135"/>
      <c r="BC188" s="134">
        <f>'Stavební rozpočet'!G189</f>
        <v>0</v>
      </c>
      <c r="BD188" s="135"/>
      <c r="BE188" s="135"/>
      <c r="BF188" s="135"/>
      <c r="BG188" s="135"/>
      <c r="BH188" s="135"/>
      <c r="BI188" s="135"/>
      <c r="BJ188" s="135"/>
      <c r="BK188" s="134">
        <f t="shared" si="6"/>
        <v>0</v>
      </c>
      <c r="BL188" s="135"/>
      <c r="BM188" s="135"/>
      <c r="BN188" s="135"/>
      <c r="BO188" s="135"/>
      <c r="BP188" s="135"/>
      <c r="BQ188" s="135"/>
      <c r="BR188" s="135"/>
      <c r="BS188" s="132" t="s">
        <v>1177</v>
      </c>
      <c r="BT188" s="133"/>
      <c r="BU188" s="133"/>
      <c r="BV188" s="133"/>
      <c r="BW188" s="133"/>
      <c r="BX188" s="133"/>
      <c r="IR188" s="46">
        <f t="shared" si="7"/>
        <v>0</v>
      </c>
      <c r="IS188" s="46">
        <f t="shared" si="8"/>
        <v>0</v>
      </c>
    </row>
    <row r="189" spans="1:253" ht="12.75">
      <c r="A189" s="132" t="s">
        <v>136</v>
      </c>
      <c r="B189" s="133"/>
      <c r="C189" s="132"/>
      <c r="D189" s="133"/>
      <c r="E189" s="133"/>
      <c r="F189" s="132" t="s">
        <v>508</v>
      </c>
      <c r="G189" s="133"/>
      <c r="H189" s="133"/>
      <c r="I189" s="133"/>
      <c r="J189" s="133"/>
      <c r="K189" s="133"/>
      <c r="L189" s="132" t="s">
        <v>909</v>
      </c>
      <c r="M189" s="133"/>
      <c r="N189" s="133"/>
      <c r="O189" s="133"/>
      <c r="P189" s="133"/>
      <c r="Q189" s="133"/>
      <c r="R189" s="133"/>
      <c r="S189" s="133"/>
      <c r="T189" s="133"/>
      <c r="U189" s="133"/>
      <c r="V189" s="133"/>
      <c r="W189" s="133"/>
      <c r="X189" s="133"/>
      <c r="Y189" s="133"/>
      <c r="Z189" s="133"/>
      <c r="AA189" s="133"/>
      <c r="AB189" s="133"/>
      <c r="AC189" s="133"/>
      <c r="AD189" s="133"/>
      <c r="AE189" s="133"/>
      <c r="AF189" s="133"/>
      <c r="AG189" s="133"/>
      <c r="AH189" s="133"/>
      <c r="AI189" s="133"/>
      <c r="AJ189" s="133"/>
      <c r="AK189" s="133"/>
      <c r="AL189" s="133"/>
      <c r="AM189" s="133"/>
      <c r="AN189" s="133"/>
      <c r="AO189" s="133"/>
      <c r="AP189" s="133"/>
      <c r="AQ189" s="133"/>
      <c r="AR189" s="133"/>
      <c r="AS189" s="133"/>
      <c r="AT189" s="133"/>
      <c r="AU189" s="133"/>
      <c r="AV189" s="132" t="s">
        <v>1154</v>
      </c>
      <c r="AW189" s="133"/>
      <c r="AX189" s="134">
        <f>'Stavební rozpočet'!F190</f>
        <v>17.1</v>
      </c>
      <c r="AY189" s="135"/>
      <c r="AZ189" s="135"/>
      <c r="BA189" s="135"/>
      <c r="BB189" s="135"/>
      <c r="BC189" s="134">
        <f>'Stavební rozpočet'!G190</f>
        <v>0</v>
      </c>
      <c r="BD189" s="135"/>
      <c r="BE189" s="135"/>
      <c r="BF189" s="135"/>
      <c r="BG189" s="135"/>
      <c r="BH189" s="135"/>
      <c r="BI189" s="135"/>
      <c r="BJ189" s="135"/>
      <c r="BK189" s="134">
        <f t="shared" si="6"/>
        <v>0</v>
      </c>
      <c r="BL189" s="135"/>
      <c r="BM189" s="135"/>
      <c r="BN189" s="135"/>
      <c r="BO189" s="135"/>
      <c r="BP189" s="135"/>
      <c r="BQ189" s="135"/>
      <c r="BR189" s="135"/>
      <c r="BS189" s="132" t="s">
        <v>1177</v>
      </c>
      <c r="BT189" s="133"/>
      <c r="BU189" s="133"/>
      <c r="BV189" s="133"/>
      <c r="BW189" s="133"/>
      <c r="BX189" s="133"/>
      <c r="IR189" s="46">
        <f t="shared" si="7"/>
        <v>0</v>
      </c>
      <c r="IS189" s="46">
        <f t="shared" si="8"/>
        <v>0</v>
      </c>
    </row>
    <row r="190" spans="1:253" ht="12.75">
      <c r="A190" s="132" t="s">
        <v>137</v>
      </c>
      <c r="B190" s="133"/>
      <c r="C190" s="132"/>
      <c r="D190" s="133"/>
      <c r="E190" s="133"/>
      <c r="F190" s="132" t="s">
        <v>509</v>
      </c>
      <c r="G190" s="133"/>
      <c r="H190" s="133"/>
      <c r="I190" s="133"/>
      <c r="J190" s="133"/>
      <c r="K190" s="133"/>
      <c r="L190" s="132" t="s">
        <v>910</v>
      </c>
      <c r="M190" s="133"/>
      <c r="N190" s="133"/>
      <c r="O190" s="133"/>
      <c r="P190" s="133"/>
      <c r="Q190" s="133"/>
      <c r="R190" s="133"/>
      <c r="S190" s="133"/>
      <c r="T190" s="133"/>
      <c r="U190" s="133"/>
      <c r="V190" s="133"/>
      <c r="W190" s="133"/>
      <c r="X190" s="133"/>
      <c r="Y190" s="133"/>
      <c r="Z190" s="133"/>
      <c r="AA190" s="133"/>
      <c r="AB190" s="133"/>
      <c r="AC190" s="133"/>
      <c r="AD190" s="133"/>
      <c r="AE190" s="133"/>
      <c r="AF190" s="133"/>
      <c r="AG190" s="133"/>
      <c r="AH190" s="133"/>
      <c r="AI190" s="133"/>
      <c r="AJ190" s="133"/>
      <c r="AK190" s="133"/>
      <c r="AL190" s="133"/>
      <c r="AM190" s="133"/>
      <c r="AN190" s="133"/>
      <c r="AO190" s="133"/>
      <c r="AP190" s="133"/>
      <c r="AQ190" s="133"/>
      <c r="AR190" s="133"/>
      <c r="AS190" s="133"/>
      <c r="AT190" s="133"/>
      <c r="AU190" s="133"/>
      <c r="AV190" s="132" t="s">
        <v>1154</v>
      </c>
      <c r="AW190" s="133"/>
      <c r="AX190" s="134">
        <f>'Stavební rozpočet'!F191</f>
        <v>45.4</v>
      </c>
      <c r="AY190" s="135"/>
      <c r="AZ190" s="135"/>
      <c r="BA190" s="135"/>
      <c r="BB190" s="135"/>
      <c r="BC190" s="134">
        <f>'Stavební rozpočet'!G191</f>
        <v>0</v>
      </c>
      <c r="BD190" s="135"/>
      <c r="BE190" s="135"/>
      <c r="BF190" s="135"/>
      <c r="BG190" s="135"/>
      <c r="BH190" s="135"/>
      <c r="BI190" s="135"/>
      <c r="BJ190" s="135"/>
      <c r="BK190" s="134">
        <f t="shared" si="6"/>
        <v>0</v>
      </c>
      <c r="BL190" s="135"/>
      <c r="BM190" s="135"/>
      <c r="BN190" s="135"/>
      <c r="BO190" s="135"/>
      <c r="BP190" s="135"/>
      <c r="BQ190" s="135"/>
      <c r="BR190" s="135"/>
      <c r="BS190" s="132" t="s">
        <v>1177</v>
      </c>
      <c r="BT190" s="133"/>
      <c r="BU190" s="133"/>
      <c r="BV190" s="133"/>
      <c r="BW190" s="133"/>
      <c r="BX190" s="133"/>
      <c r="IR190" s="46">
        <f t="shared" si="7"/>
        <v>0</v>
      </c>
      <c r="IS190" s="46">
        <f t="shared" si="8"/>
        <v>0</v>
      </c>
    </row>
    <row r="191" spans="1:253" ht="12.75">
      <c r="A191" s="132" t="s">
        <v>138</v>
      </c>
      <c r="B191" s="133"/>
      <c r="C191" s="132"/>
      <c r="D191" s="133"/>
      <c r="E191" s="133"/>
      <c r="F191" s="132" t="s">
        <v>510</v>
      </c>
      <c r="G191" s="133"/>
      <c r="H191" s="133"/>
      <c r="I191" s="133"/>
      <c r="J191" s="133"/>
      <c r="K191" s="133"/>
      <c r="L191" s="132" t="s">
        <v>911</v>
      </c>
      <c r="M191" s="133"/>
      <c r="N191" s="133"/>
      <c r="O191" s="133"/>
      <c r="P191" s="133"/>
      <c r="Q191" s="133"/>
      <c r="R191" s="133"/>
      <c r="S191" s="133"/>
      <c r="T191" s="133"/>
      <c r="U191" s="133"/>
      <c r="V191" s="133"/>
      <c r="W191" s="133"/>
      <c r="X191" s="133"/>
      <c r="Y191" s="133"/>
      <c r="Z191" s="133"/>
      <c r="AA191" s="133"/>
      <c r="AB191" s="133"/>
      <c r="AC191" s="133"/>
      <c r="AD191" s="133"/>
      <c r="AE191" s="133"/>
      <c r="AF191" s="133"/>
      <c r="AG191" s="133"/>
      <c r="AH191" s="133"/>
      <c r="AI191" s="133"/>
      <c r="AJ191" s="133"/>
      <c r="AK191" s="133"/>
      <c r="AL191" s="133"/>
      <c r="AM191" s="133"/>
      <c r="AN191" s="133"/>
      <c r="AO191" s="133"/>
      <c r="AP191" s="133"/>
      <c r="AQ191" s="133"/>
      <c r="AR191" s="133"/>
      <c r="AS191" s="133"/>
      <c r="AT191" s="133"/>
      <c r="AU191" s="133"/>
      <c r="AV191" s="132" t="s">
        <v>1154</v>
      </c>
      <c r="AW191" s="133"/>
      <c r="AX191" s="134">
        <f>'Stavební rozpočet'!F192</f>
        <v>6.7</v>
      </c>
      <c r="AY191" s="135"/>
      <c r="AZ191" s="135"/>
      <c r="BA191" s="135"/>
      <c r="BB191" s="135"/>
      <c r="BC191" s="134">
        <f>'Stavební rozpočet'!G192</f>
        <v>0</v>
      </c>
      <c r="BD191" s="135"/>
      <c r="BE191" s="135"/>
      <c r="BF191" s="135"/>
      <c r="BG191" s="135"/>
      <c r="BH191" s="135"/>
      <c r="BI191" s="135"/>
      <c r="BJ191" s="135"/>
      <c r="BK191" s="134">
        <f t="shared" si="6"/>
        <v>0</v>
      </c>
      <c r="BL191" s="135"/>
      <c r="BM191" s="135"/>
      <c r="BN191" s="135"/>
      <c r="BO191" s="135"/>
      <c r="BP191" s="135"/>
      <c r="BQ191" s="135"/>
      <c r="BR191" s="135"/>
      <c r="BS191" s="132" t="s">
        <v>1177</v>
      </c>
      <c r="BT191" s="133"/>
      <c r="BU191" s="133"/>
      <c r="BV191" s="133"/>
      <c r="BW191" s="133"/>
      <c r="BX191" s="133"/>
      <c r="IR191" s="46">
        <f t="shared" si="7"/>
        <v>0</v>
      </c>
      <c r="IS191" s="46">
        <f t="shared" si="8"/>
        <v>0</v>
      </c>
    </row>
    <row r="192" spans="1:253" ht="12.75">
      <c r="A192" s="132" t="s">
        <v>139</v>
      </c>
      <c r="B192" s="133"/>
      <c r="C192" s="132"/>
      <c r="D192" s="133"/>
      <c r="E192" s="133"/>
      <c r="F192" s="132" t="s">
        <v>511</v>
      </c>
      <c r="G192" s="133"/>
      <c r="H192" s="133"/>
      <c r="I192" s="133"/>
      <c r="J192" s="133"/>
      <c r="K192" s="133"/>
      <c r="L192" s="132" t="s">
        <v>912</v>
      </c>
      <c r="M192" s="133"/>
      <c r="N192" s="133"/>
      <c r="O192" s="133"/>
      <c r="P192" s="133"/>
      <c r="Q192" s="133"/>
      <c r="R192" s="133"/>
      <c r="S192" s="133"/>
      <c r="T192" s="133"/>
      <c r="U192" s="133"/>
      <c r="V192" s="133"/>
      <c r="W192" s="133"/>
      <c r="X192" s="133"/>
      <c r="Y192" s="133"/>
      <c r="Z192" s="133"/>
      <c r="AA192" s="133"/>
      <c r="AB192" s="133"/>
      <c r="AC192" s="133"/>
      <c r="AD192" s="133"/>
      <c r="AE192" s="133"/>
      <c r="AF192" s="133"/>
      <c r="AG192" s="133"/>
      <c r="AH192" s="133"/>
      <c r="AI192" s="133"/>
      <c r="AJ192" s="133"/>
      <c r="AK192" s="133"/>
      <c r="AL192" s="133"/>
      <c r="AM192" s="133"/>
      <c r="AN192" s="133"/>
      <c r="AO192" s="133"/>
      <c r="AP192" s="133"/>
      <c r="AQ192" s="133"/>
      <c r="AR192" s="133"/>
      <c r="AS192" s="133"/>
      <c r="AT192" s="133"/>
      <c r="AU192" s="133"/>
      <c r="AV192" s="132" t="s">
        <v>1154</v>
      </c>
      <c r="AW192" s="133"/>
      <c r="AX192" s="134">
        <f>'Stavební rozpočet'!F193</f>
        <v>6.4</v>
      </c>
      <c r="AY192" s="135"/>
      <c r="AZ192" s="135"/>
      <c r="BA192" s="135"/>
      <c r="BB192" s="135"/>
      <c r="BC192" s="134">
        <f>'Stavební rozpočet'!G193</f>
        <v>0</v>
      </c>
      <c r="BD192" s="135"/>
      <c r="BE192" s="135"/>
      <c r="BF192" s="135"/>
      <c r="BG192" s="135"/>
      <c r="BH192" s="135"/>
      <c r="BI192" s="135"/>
      <c r="BJ192" s="135"/>
      <c r="BK192" s="134">
        <f t="shared" si="6"/>
        <v>0</v>
      </c>
      <c r="BL192" s="135"/>
      <c r="BM192" s="135"/>
      <c r="BN192" s="135"/>
      <c r="BO192" s="135"/>
      <c r="BP192" s="135"/>
      <c r="BQ192" s="135"/>
      <c r="BR192" s="135"/>
      <c r="BS192" s="132" t="s">
        <v>1177</v>
      </c>
      <c r="BT192" s="133"/>
      <c r="BU192" s="133"/>
      <c r="BV192" s="133"/>
      <c r="BW192" s="133"/>
      <c r="BX192" s="133"/>
      <c r="IR192" s="46">
        <f t="shared" si="7"/>
        <v>0</v>
      </c>
      <c r="IS192" s="46">
        <f t="shared" si="8"/>
        <v>0</v>
      </c>
    </row>
    <row r="193" spans="1:253" ht="12.75">
      <c r="A193" s="132" t="s">
        <v>140</v>
      </c>
      <c r="B193" s="133"/>
      <c r="C193" s="132"/>
      <c r="D193" s="133"/>
      <c r="E193" s="133"/>
      <c r="F193" s="132" t="s">
        <v>512</v>
      </c>
      <c r="G193" s="133"/>
      <c r="H193" s="133"/>
      <c r="I193" s="133"/>
      <c r="J193" s="133"/>
      <c r="K193" s="133"/>
      <c r="L193" s="132" t="s">
        <v>913</v>
      </c>
      <c r="M193" s="133"/>
      <c r="N193" s="133"/>
      <c r="O193" s="133"/>
      <c r="P193" s="133"/>
      <c r="Q193" s="133"/>
      <c r="R193" s="133"/>
      <c r="S193" s="133"/>
      <c r="T193" s="133"/>
      <c r="U193" s="133"/>
      <c r="V193" s="133"/>
      <c r="W193" s="133"/>
      <c r="X193" s="133"/>
      <c r="Y193" s="133"/>
      <c r="Z193" s="133"/>
      <c r="AA193" s="133"/>
      <c r="AB193" s="133"/>
      <c r="AC193" s="133"/>
      <c r="AD193" s="133"/>
      <c r="AE193" s="133"/>
      <c r="AF193" s="133"/>
      <c r="AG193" s="133"/>
      <c r="AH193" s="133"/>
      <c r="AI193" s="133"/>
      <c r="AJ193" s="133"/>
      <c r="AK193" s="133"/>
      <c r="AL193" s="133"/>
      <c r="AM193" s="133"/>
      <c r="AN193" s="133"/>
      <c r="AO193" s="133"/>
      <c r="AP193" s="133"/>
      <c r="AQ193" s="133"/>
      <c r="AR193" s="133"/>
      <c r="AS193" s="133"/>
      <c r="AT193" s="133"/>
      <c r="AU193" s="133"/>
      <c r="AV193" s="132" t="s">
        <v>1154</v>
      </c>
      <c r="AW193" s="133"/>
      <c r="AX193" s="134">
        <f>'Stavební rozpočet'!F194</f>
        <v>45.4</v>
      </c>
      <c r="AY193" s="135"/>
      <c r="AZ193" s="135"/>
      <c r="BA193" s="135"/>
      <c r="BB193" s="135"/>
      <c r="BC193" s="134">
        <f>'Stavební rozpočet'!G194</f>
        <v>0</v>
      </c>
      <c r="BD193" s="135"/>
      <c r="BE193" s="135"/>
      <c r="BF193" s="135"/>
      <c r="BG193" s="135"/>
      <c r="BH193" s="135"/>
      <c r="BI193" s="135"/>
      <c r="BJ193" s="135"/>
      <c r="BK193" s="134">
        <f t="shared" si="6"/>
        <v>0</v>
      </c>
      <c r="BL193" s="135"/>
      <c r="BM193" s="135"/>
      <c r="BN193" s="135"/>
      <c r="BO193" s="135"/>
      <c r="BP193" s="135"/>
      <c r="BQ193" s="135"/>
      <c r="BR193" s="135"/>
      <c r="BS193" s="132" t="s">
        <v>1177</v>
      </c>
      <c r="BT193" s="133"/>
      <c r="BU193" s="133"/>
      <c r="BV193" s="133"/>
      <c r="BW193" s="133"/>
      <c r="BX193" s="133"/>
      <c r="IR193" s="46">
        <f t="shared" si="7"/>
        <v>0</v>
      </c>
      <c r="IS193" s="46">
        <f t="shared" si="8"/>
        <v>0</v>
      </c>
    </row>
    <row r="194" spans="1:253" ht="12.75">
      <c r="A194" s="132" t="s">
        <v>141</v>
      </c>
      <c r="B194" s="133"/>
      <c r="C194" s="132"/>
      <c r="D194" s="133"/>
      <c r="E194" s="133"/>
      <c r="F194" s="132" t="s">
        <v>513</v>
      </c>
      <c r="G194" s="133"/>
      <c r="H194" s="133"/>
      <c r="I194" s="133"/>
      <c r="J194" s="133"/>
      <c r="K194" s="133"/>
      <c r="L194" s="132" t="s">
        <v>914</v>
      </c>
      <c r="M194" s="133"/>
      <c r="N194" s="133"/>
      <c r="O194" s="133"/>
      <c r="P194" s="133"/>
      <c r="Q194" s="133"/>
      <c r="R194" s="133"/>
      <c r="S194" s="133"/>
      <c r="T194" s="133"/>
      <c r="U194" s="133"/>
      <c r="V194" s="133"/>
      <c r="W194" s="133"/>
      <c r="X194" s="133"/>
      <c r="Y194" s="133"/>
      <c r="Z194" s="133"/>
      <c r="AA194" s="133"/>
      <c r="AB194" s="133"/>
      <c r="AC194" s="133"/>
      <c r="AD194" s="133"/>
      <c r="AE194" s="133"/>
      <c r="AF194" s="133"/>
      <c r="AG194" s="133"/>
      <c r="AH194" s="133"/>
      <c r="AI194" s="133"/>
      <c r="AJ194" s="133"/>
      <c r="AK194" s="133"/>
      <c r="AL194" s="133"/>
      <c r="AM194" s="133"/>
      <c r="AN194" s="133"/>
      <c r="AO194" s="133"/>
      <c r="AP194" s="133"/>
      <c r="AQ194" s="133"/>
      <c r="AR194" s="133"/>
      <c r="AS194" s="133"/>
      <c r="AT194" s="133"/>
      <c r="AU194" s="133"/>
      <c r="AV194" s="132" t="s">
        <v>1154</v>
      </c>
      <c r="AW194" s="133"/>
      <c r="AX194" s="134">
        <f>'Stavební rozpočet'!F195</f>
        <v>6.7</v>
      </c>
      <c r="AY194" s="135"/>
      <c r="AZ194" s="135"/>
      <c r="BA194" s="135"/>
      <c r="BB194" s="135"/>
      <c r="BC194" s="134">
        <f>'Stavební rozpočet'!G195</f>
        <v>0</v>
      </c>
      <c r="BD194" s="135"/>
      <c r="BE194" s="135"/>
      <c r="BF194" s="135"/>
      <c r="BG194" s="135"/>
      <c r="BH194" s="135"/>
      <c r="BI194" s="135"/>
      <c r="BJ194" s="135"/>
      <c r="BK194" s="134">
        <f t="shared" si="6"/>
        <v>0</v>
      </c>
      <c r="BL194" s="135"/>
      <c r="BM194" s="135"/>
      <c r="BN194" s="135"/>
      <c r="BO194" s="135"/>
      <c r="BP194" s="135"/>
      <c r="BQ194" s="135"/>
      <c r="BR194" s="135"/>
      <c r="BS194" s="132" t="s">
        <v>1177</v>
      </c>
      <c r="BT194" s="133"/>
      <c r="BU194" s="133"/>
      <c r="BV194" s="133"/>
      <c r="BW194" s="133"/>
      <c r="BX194" s="133"/>
      <c r="IR194" s="46">
        <f t="shared" si="7"/>
        <v>0</v>
      </c>
      <c r="IS194" s="46">
        <f t="shared" si="8"/>
        <v>0</v>
      </c>
    </row>
    <row r="195" spans="1:253" ht="12.75">
      <c r="A195" s="132" t="s">
        <v>142</v>
      </c>
      <c r="B195" s="133"/>
      <c r="C195" s="132"/>
      <c r="D195" s="133"/>
      <c r="E195" s="133"/>
      <c r="F195" s="132" t="s">
        <v>514</v>
      </c>
      <c r="G195" s="133"/>
      <c r="H195" s="133"/>
      <c r="I195" s="133"/>
      <c r="J195" s="133"/>
      <c r="K195" s="133"/>
      <c r="L195" s="132" t="s">
        <v>915</v>
      </c>
      <c r="M195" s="133"/>
      <c r="N195" s="133"/>
      <c r="O195" s="133"/>
      <c r="P195" s="133"/>
      <c r="Q195" s="133"/>
      <c r="R195" s="133"/>
      <c r="S195" s="133"/>
      <c r="T195" s="133"/>
      <c r="U195" s="133"/>
      <c r="V195" s="133"/>
      <c r="W195" s="133"/>
      <c r="X195" s="133"/>
      <c r="Y195" s="133"/>
      <c r="Z195" s="133"/>
      <c r="AA195" s="133"/>
      <c r="AB195" s="133"/>
      <c r="AC195" s="133"/>
      <c r="AD195" s="133"/>
      <c r="AE195" s="133"/>
      <c r="AF195" s="133"/>
      <c r="AG195" s="133"/>
      <c r="AH195" s="133"/>
      <c r="AI195" s="133"/>
      <c r="AJ195" s="133"/>
      <c r="AK195" s="133"/>
      <c r="AL195" s="133"/>
      <c r="AM195" s="133"/>
      <c r="AN195" s="133"/>
      <c r="AO195" s="133"/>
      <c r="AP195" s="133"/>
      <c r="AQ195" s="133"/>
      <c r="AR195" s="133"/>
      <c r="AS195" s="133"/>
      <c r="AT195" s="133"/>
      <c r="AU195" s="133"/>
      <c r="AV195" s="132" t="s">
        <v>1154</v>
      </c>
      <c r="AW195" s="133"/>
      <c r="AX195" s="134">
        <f>'Stavební rozpočet'!F196</f>
        <v>6.4</v>
      </c>
      <c r="AY195" s="135"/>
      <c r="AZ195" s="135"/>
      <c r="BA195" s="135"/>
      <c r="BB195" s="135"/>
      <c r="BC195" s="134">
        <f>'Stavební rozpočet'!G196</f>
        <v>0</v>
      </c>
      <c r="BD195" s="135"/>
      <c r="BE195" s="135"/>
      <c r="BF195" s="135"/>
      <c r="BG195" s="135"/>
      <c r="BH195" s="135"/>
      <c r="BI195" s="135"/>
      <c r="BJ195" s="135"/>
      <c r="BK195" s="134">
        <f t="shared" si="6"/>
        <v>0</v>
      </c>
      <c r="BL195" s="135"/>
      <c r="BM195" s="135"/>
      <c r="BN195" s="135"/>
      <c r="BO195" s="135"/>
      <c r="BP195" s="135"/>
      <c r="BQ195" s="135"/>
      <c r="BR195" s="135"/>
      <c r="BS195" s="132" t="s">
        <v>1177</v>
      </c>
      <c r="BT195" s="133"/>
      <c r="BU195" s="133"/>
      <c r="BV195" s="133"/>
      <c r="BW195" s="133"/>
      <c r="BX195" s="133"/>
      <c r="IR195" s="46">
        <f t="shared" si="7"/>
        <v>0</v>
      </c>
      <c r="IS195" s="46">
        <f t="shared" si="8"/>
        <v>0</v>
      </c>
    </row>
    <row r="196" spans="1:253" ht="12.75">
      <c r="A196" s="132" t="s">
        <v>143</v>
      </c>
      <c r="B196" s="133"/>
      <c r="C196" s="132"/>
      <c r="D196" s="133"/>
      <c r="E196" s="133"/>
      <c r="F196" s="132" t="s">
        <v>515</v>
      </c>
      <c r="G196" s="133"/>
      <c r="H196" s="133"/>
      <c r="I196" s="133"/>
      <c r="J196" s="133"/>
      <c r="K196" s="133"/>
      <c r="L196" s="132" t="s">
        <v>916</v>
      </c>
      <c r="M196" s="133"/>
      <c r="N196" s="133"/>
      <c r="O196" s="133"/>
      <c r="P196" s="133"/>
      <c r="Q196" s="133"/>
      <c r="R196" s="133"/>
      <c r="S196" s="133"/>
      <c r="T196" s="133"/>
      <c r="U196" s="133"/>
      <c r="V196" s="133"/>
      <c r="W196" s="133"/>
      <c r="X196" s="133"/>
      <c r="Y196" s="133"/>
      <c r="Z196" s="133"/>
      <c r="AA196" s="133"/>
      <c r="AB196" s="133"/>
      <c r="AC196" s="133"/>
      <c r="AD196" s="133"/>
      <c r="AE196" s="133"/>
      <c r="AF196" s="133"/>
      <c r="AG196" s="133"/>
      <c r="AH196" s="133"/>
      <c r="AI196" s="133"/>
      <c r="AJ196" s="133"/>
      <c r="AK196" s="133"/>
      <c r="AL196" s="133"/>
      <c r="AM196" s="133"/>
      <c r="AN196" s="133"/>
      <c r="AO196" s="133"/>
      <c r="AP196" s="133"/>
      <c r="AQ196" s="133"/>
      <c r="AR196" s="133"/>
      <c r="AS196" s="133"/>
      <c r="AT196" s="133"/>
      <c r="AU196" s="133"/>
      <c r="AV196" s="132" t="s">
        <v>1153</v>
      </c>
      <c r="AW196" s="133"/>
      <c r="AX196" s="134">
        <f>'Stavební rozpočet'!F197</f>
        <v>2</v>
      </c>
      <c r="AY196" s="135"/>
      <c r="AZ196" s="135"/>
      <c r="BA196" s="135"/>
      <c r="BB196" s="135"/>
      <c r="BC196" s="134">
        <f>'Stavební rozpočet'!G197</f>
        <v>0</v>
      </c>
      <c r="BD196" s="135"/>
      <c r="BE196" s="135"/>
      <c r="BF196" s="135"/>
      <c r="BG196" s="135"/>
      <c r="BH196" s="135"/>
      <c r="BI196" s="135"/>
      <c r="BJ196" s="135"/>
      <c r="BK196" s="134">
        <f t="shared" si="6"/>
        <v>0</v>
      </c>
      <c r="BL196" s="135"/>
      <c r="BM196" s="135"/>
      <c r="BN196" s="135"/>
      <c r="BO196" s="135"/>
      <c r="BP196" s="135"/>
      <c r="BQ196" s="135"/>
      <c r="BR196" s="135"/>
      <c r="BS196" s="132" t="s">
        <v>1177</v>
      </c>
      <c r="BT196" s="133"/>
      <c r="BU196" s="133"/>
      <c r="BV196" s="133"/>
      <c r="BW196" s="133"/>
      <c r="BX196" s="133"/>
      <c r="IR196" s="46">
        <f t="shared" si="7"/>
        <v>0</v>
      </c>
      <c r="IS196" s="46">
        <f t="shared" si="8"/>
        <v>0</v>
      </c>
    </row>
    <row r="197" spans="1:253" ht="12.75">
      <c r="A197" s="132" t="s">
        <v>144</v>
      </c>
      <c r="B197" s="133"/>
      <c r="C197" s="132"/>
      <c r="D197" s="133"/>
      <c r="E197" s="133"/>
      <c r="F197" s="132" t="s">
        <v>516</v>
      </c>
      <c r="G197" s="133"/>
      <c r="H197" s="133"/>
      <c r="I197" s="133"/>
      <c r="J197" s="133"/>
      <c r="K197" s="133"/>
      <c r="L197" s="132" t="s">
        <v>917</v>
      </c>
      <c r="M197" s="133"/>
      <c r="N197" s="133"/>
      <c r="O197" s="133"/>
      <c r="P197" s="133"/>
      <c r="Q197" s="133"/>
      <c r="R197" s="133"/>
      <c r="S197" s="133"/>
      <c r="T197" s="133"/>
      <c r="U197" s="133"/>
      <c r="V197" s="133"/>
      <c r="W197" s="133"/>
      <c r="X197" s="133"/>
      <c r="Y197" s="133"/>
      <c r="Z197" s="133"/>
      <c r="AA197" s="133"/>
      <c r="AB197" s="133"/>
      <c r="AC197" s="133"/>
      <c r="AD197" s="133"/>
      <c r="AE197" s="133"/>
      <c r="AF197" s="133"/>
      <c r="AG197" s="133"/>
      <c r="AH197" s="133"/>
      <c r="AI197" s="133"/>
      <c r="AJ197" s="133"/>
      <c r="AK197" s="133"/>
      <c r="AL197" s="133"/>
      <c r="AM197" s="133"/>
      <c r="AN197" s="133"/>
      <c r="AO197" s="133"/>
      <c r="AP197" s="133"/>
      <c r="AQ197" s="133"/>
      <c r="AR197" s="133"/>
      <c r="AS197" s="133"/>
      <c r="AT197" s="133"/>
      <c r="AU197" s="133"/>
      <c r="AV197" s="132" t="s">
        <v>1153</v>
      </c>
      <c r="AW197" s="133"/>
      <c r="AX197" s="134">
        <f>'Stavební rozpočet'!F198</f>
        <v>1</v>
      </c>
      <c r="AY197" s="135"/>
      <c r="AZ197" s="135"/>
      <c r="BA197" s="135"/>
      <c r="BB197" s="135"/>
      <c r="BC197" s="134">
        <f>'Stavební rozpočet'!G198</f>
        <v>0</v>
      </c>
      <c r="BD197" s="135"/>
      <c r="BE197" s="135"/>
      <c r="BF197" s="135"/>
      <c r="BG197" s="135"/>
      <c r="BH197" s="135"/>
      <c r="BI197" s="135"/>
      <c r="BJ197" s="135"/>
      <c r="BK197" s="134">
        <f t="shared" si="6"/>
        <v>0</v>
      </c>
      <c r="BL197" s="135"/>
      <c r="BM197" s="135"/>
      <c r="BN197" s="135"/>
      <c r="BO197" s="135"/>
      <c r="BP197" s="135"/>
      <c r="BQ197" s="135"/>
      <c r="BR197" s="135"/>
      <c r="BS197" s="132" t="s">
        <v>1177</v>
      </c>
      <c r="BT197" s="133"/>
      <c r="BU197" s="133"/>
      <c r="BV197" s="133"/>
      <c r="BW197" s="133"/>
      <c r="BX197" s="133"/>
      <c r="IR197" s="46">
        <f t="shared" si="7"/>
        <v>0</v>
      </c>
      <c r="IS197" s="46">
        <f t="shared" si="8"/>
        <v>0</v>
      </c>
    </row>
    <row r="198" spans="1:253" ht="12.75">
      <c r="A198" s="132" t="s">
        <v>145</v>
      </c>
      <c r="B198" s="133"/>
      <c r="C198" s="132"/>
      <c r="D198" s="133"/>
      <c r="E198" s="133"/>
      <c r="F198" s="132" t="s">
        <v>517</v>
      </c>
      <c r="G198" s="133"/>
      <c r="H198" s="133"/>
      <c r="I198" s="133"/>
      <c r="J198" s="133"/>
      <c r="K198" s="133"/>
      <c r="L198" s="132" t="s">
        <v>918</v>
      </c>
      <c r="M198" s="133"/>
      <c r="N198" s="133"/>
      <c r="O198" s="133"/>
      <c r="P198" s="133"/>
      <c r="Q198" s="133"/>
      <c r="R198" s="133"/>
      <c r="S198" s="133"/>
      <c r="T198" s="133"/>
      <c r="U198" s="133"/>
      <c r="V198" s="133"/>
      <c r="W198" s="133"/>
      <c r="X198" s="133"/>
      <c r="Y198" s="133"/>
      <c r="Z198" s="133"/>
      <c r="AA198" s="133"/>
      <c r="AB198" s="133"/>
      <c r="AC198" s="133"/>
      <c r="AD198" s="133"/>
      <c r="AE198" s="133"/>
      <c r="AF198" s="133"/>
      <c r="AG198" s="133"/>
      <c r="AH198" s="133"/>
      <c r="AI198" s="133"/>
      <c r="AJ198" s="133"/>
      <c r="AK198" s="133"/>
      <c r="AL198" s="133"/>
      <c r="AM198" s="133"/>
      <c r="AN198" s="133"/>
      <c r="AO198" s="133"/>
      <c r="AP198" s="133"/>
      <c r="AQ198" s="133"/>
      <c r="AR198" s="133"/>
      <c r="AS198" s="133"/>
      <c r="AT198" s="133"/>
      <c r="AU198" s="133"/>
      <c r="AV198" s="132" t="s">
        <v>1153</v>
      </c>
      <c r="AW198" s="133"/>
      <c r="AX198" s="134">
        <f>'Stavební rozpočet'!F199</f>
        <v>3</v>
      </c>
      <c r="AY198" s="135"/>
      <c r="AZ198" s="135"/>
      <c r="BA198" s="135"/>
      <c r="BB198" s="135"/>
      <c r="BC198" s="134">
        <f>'Stavební rozpočet'!G199</f>
        <v>0</v>
      </c>
      <c r="BD198" s="135"/>
      <c r="BE198" s="135"/>
      <c r="BF198" s="135"/>
      <c r="BG198" s="135"/>
      <c r="BH198" s="135"/>
      <c r="BI198" s="135"/>
      <c r="BJ198" s="135"/>
      <c r="BK198" s="134">
        <f t="shared" si="6"/>
        <v>0</v>
      </c>
      <c r="BL198" s="135"/>
      <c r="BM198" s="135"/>
      <c r="BN198" s="135"/>
      <c r="BO198" s="135"/>
      <c r="BP198" s="135"/>
      <c r="BQ198" s="135"/>
      <c r="BR198" s="135"/>
      <c r="BS198" s="132" t="s">
        <v>1177</v>
      </c>
      <c r="BT198" s="133"/>
      <c r="BU198" s="133"/>
      <c r="BV198" s="133"/>
      <c r="BW198" s="133"/>
      <c r="BX198" s="133"/>
      <c r="IR198" s="46">
        <f t="shared" si="7"/>
        <v>0</v>
      </c>
      <c r="IS198" s="46">
        <f t="shared" si="8"/>
        <v>0</v>
      </c>
    </row>
    <row r="199" spans="1:253" ht="12.75">
      <c r="A199" s="132" t="s">
        <v>146</v>
      </c>
      <c r="B199" s="133"/>
      <c r="C199" s="132"/>
      <c r="D199" s="133"/>
      <c r="E199" s="133"/>
      <c r="F199" s="132" t="s">
        <v>518</v>
      </c>
      <c r="G199" s="133"/>
      <c r="H199" s="133"/>
      <c r="I199" s="133"/>
      <c r="J199" s="133"/>
      <c r="K199" s="133"/>
      <c r="L199" s="132" t="s">
        <v>919</v>
      </c>
      <c r="M199" s="133"/>
      <c r="N199" s="133"/>
      <c r="O199" s="133"/>
      <c r="P199" s="133"/>
      <c r="Q199" s="133"/>
      <c r="R199" s="133"/>
      <c r="S199" s="133"/>
      <c r="T199" s="133"/>
      <c r="U199" s="133"/>
      <c r="V199" s="133"/>
      <c r="W199" s="133"/>
      <c r="X199" s="133"/>
      <c r="Y199" s="133"/>
      <c r="Z199" s="133"/>
      <c r="AA199" s="133"/>
      <c r="AB199" s="133"/>
      <c r="AC199" s="133"/>
      <c r="AD199" s="133"/>
      <c r="AE199" s="133"/>
      <c r="AF199" s="133"/>
      <c r="AG199" s="133"/>
      <c r="AH199" s="133"/>
      <c r="AI199" s="133"/>
      <c r="AJ199" s="133"/>
      <c r="AK199" s="133"/>
      <c r="AL199" s="133"/>
      <c r="AM199" s="133"/>
      <c r="AN199" s="133"/>
      <c r="AO199" s="133"/>
      <c r="AP199" s="133"/>
      <c r="AQ199" s="133"/>
      <c r="AR199" s="133"/>
      <c r="AS199" s="133"/>
      <c r="AT199" s="133"/>
      <c r="AU199" s="133"/>
      <c r="AV199" s="132" t="s">
        <v>1153</v>
      </c>
      <c r="AW199" s="133"/>
      <c r="AX199" s="134">
        <f>'Stavební rozpočet'!F200</f>
        <v>1</v>
      </c>
      <c r="AY199" s="135"/>
      <c r="AZ199" s="135"/>
      <c r="BA199" s="135"/>
      <c r="BB199" s="135"/>
      <c r="BC199" s="134">
        <f>'Stavební rozpočet'!G200</f>
        <v>0</v>
      </c>
      <c r="BD199" s="135"/>
      <c r="BE199" s="135"/>
      <c r="BF199" s="135"/>
      <c r="BG199" s="135"/>
      <c r="BH199" s="135"/>
      <c r="BI199" s="135"/>
      <c r="BJ199" s="135"/>
      <c r="BK199" s="134">
        <f t="shared" si="6"/>
        <v>0</v>
      </c>
      <c r="BL199" s="135"/>
      <c r="BM199" s="135"/>
      <c r="BN199" s="135"/>
      <c r="BO199" s="135"/>
      <c r="BP199" s="135"/>
      <c r="BQ199" s="135"/>
      <c r="BR199" s="135"/>
      <c r="BS199" s="132" t="s">
        <v>1177</v>
      </c>
      <c r="BT199" s="133"/>
      <c r="BU199" s="133"/>
      <c r="BV199" s="133"/>
      <c r="BW199" s="133"/>
      <c r="BX199" s="133"/>
      <c r="IR199" s="46">
        <f t="shared" si="7"/>
        <v>0</v>
      </c>
      <c r="IS199" s="46">
        <f t="shared" si="8"/>
        <v>0</v>
      </c>
    </row>
    <row r="200" spans="1:253" ht="12.75">
      <c r="A200" s="132" t="s">
        <v>147</v>
      </c>
      <c r="B200" s="133"/>
      <c r="C200" s="132"/>
      <c r="D200" s="133"/>
      <c r="E200" s="133"/>
      <c r="F200" s="132" t="s">
        <v>519</v>
      </c>
      <c r="G200" s="133"/>
      <c r="H200" s="133"/>
      <c r="I200" s="133"/>
      <c r="J200" s="133"/>
      <c r="K200" s="133"/>
      <c r="L200" s="132" t="s">
        <v>920</v>
      </c>
      <c r="M200" s="133"/>
      <c r="N200" s="133"/>
      <c r="O200" s="133"/>
      <c r="P200" s="133"/>
      <c r="Q200" s="133"/>
      <c r="R200" s="133"/>
      <c r="S200" s="133"/>
      <c r="T200" s="133"/>
      <c r="U200" s="133"/>
      <c r="V200" s="133"/>
      <c r="W200" s="133"/>
      <c r="X200" s="133"/>
      <c r="Y200" s="133"/>
      <c r="Z200" s="133"/>
      <c r="AA200" s="133"/>
      <c r="AB200" s="133"/>
      <c r="AC200" s="133"/>
      <c r="AD200" s="133"/>
      <c r="AE200" s="133"/>
      <c r="AF200" s="133"/>
      <c r="AG200" s="133"/>
      <c r="AH200" s="133"/>
      <c r="AI200" s="133"/>
      <c r="AJ200" s="133"/>
      <c r="AK200" s="133"/>
      <c r="AL200" s="133"/>
      <c r="AM200" s="133"/>
      <c r="AN200" s="133"/>
      <c r="AO200" s="133"/>
      <c r="AP200" s="133"/>
      <c r="AQ200" s="133"/>
      <c r="AR200" s="133"/>
      <c r="AS200" s="133"/>
      <c r="AT200" s="133"/>
      <c r="AU200" s="133"/>
      <c r="AV200" s="132" t="s">
        <v>1153</v>
      </c>
      <c r="AW200" s="133"/>
      <c r="AX200" s="134">
        <f>'Stavební rozpočet'!F201</f>
        <v>1</v>
      </c>
      <c r="AY200" s="135"/>
      <c r="AZ200" s="135"/>
      <c r="BA200" s="135"/>
      <c r="BB200" s="135"/>
      <c r="BC200" s="134">
        <f>'Stavební rozpočet'!G201</f>
        <v>0</v>
      </c>
      <c r="BD200" s="135"/>
      <c r="BE200" s="135"/>
      <c r="BF200" s="135"/>
      <c r="BG200" s="135"/>
      <c r="BH200" s="135"/>
      <c r="BI200" s="135"/>
      <c r="BJ200" s="135"/>
      <c r="BK200" s="134">
        <f t="shared" si="6"/>
        <v>0</v>
      </c>
      <c r="BL200" s="135"/>
      <c r="BM200" s="135"/>
      <c r="BN200" s="135"/>
      <c r="BO200" s="135"/>
      <c r="BP200" s="135"/>
      <c r="BQ200" s="135"/>
      <c r="BR200" s="135"/>
      <c r="BS200" s="132" t="s">
        <v>1177</v>
      </c>
      <c r="BT200" s="133"/>
      <c r="BU200" s="133"/>
      <c r="BV200" s="133"/>
      <c r="BW200" s="133"/>
      <c r="BX200" s="133"/>
      <c r="IR200" s="46">
        <f t="shared" si="7"/>
        <v>0</v>
      </c>
      <c r="IS200" s="46">
        <f t="shared" si="8"/>
        <v>0</v>
      </c>
    </row>
    <row r="201" spans="1:253" ht="12.75">
      <c r="A201" s="132" t="s">
        <v>148</v>
      </c>
      <c r="B201" s="133"/>
      <c r="C201" s="132"/>
      <c r="D201" s="133"/>
      <c r="E201" s="133"/>
      <c r="F201" s="132" t="s">
        <v>520</v>
      </c>
      <c r="G201" s="133"/>
      <c r="H201" s="133"/>
      <c r="I201" s="133"/>
      <c r="J201" s="133"/>
      <c r="K201" s="133"/>
      <c r="L201" s="132" t="s">
        <v>921</v>
      </c>
      <c r="M201" s="133"/>
      <c r="N201" s="133"/>
      <c r="O201" s="133"/>
      <c r="P201" s="133"/>
      <c r="Q201" s="133"/>
      <c r="R201" s="133"/>
      <c r="S201" s="133"/>
      <c r="T201" s="133"/>
      <c r="U201" s="133"/>
      <c r="V201" s="133"/>
      <c r="W201" s="133"/>
      <c r="X201" s="133"/>
      <c r="Y201" s="133"/>
      <c r="Z201" s="133"/>
      <c r="AA201" s="133"/>
      <c r="AB201" s="133"/>
      <c r="AC201" s="133"/>
      <c r="AD201" s="133"/>
      <c r="AE201" s="133"/>
      <c r="AF201" s="133"/>
      <c r="AG201" s="133"/>
      <c r="AH201" s="133"/>
      <c r="AI201" s="133"/>
      <c r="AJ201" s="133"/>
      <c r="AK201" s="133"/>
      <c r="AL201" s="133"/>
      <c r="AM201" s="133"/>
      <c r="AN201" s="133"/>
      <c r="AO201" s="133"/>
      <c r="AP201" s="133"/>
      <c r="AQ201" s="133"/>
      <c r="AR201" s="133"/>
      <c r="AS201" s="133"/>
      <c r="AT201" s="133"/>
      <c r="AU201" s="133"/>
      <c r="AV201" s="132" t="s">
        <v>1153</v>
      </c>
      <c r="AW201" s="133"/>
      <c r="AX201" s="134">
        <f>'Stavební rozpočet'!F202</f>
        <v>1</v>
      </c>
      <c r="AY201" s="135"/>
      <c r="AZ201" s="135"/>
      <c r="BA201" s="135"/>
      <c r="BB201" s="135"/>
      <c r="BC201" s="134">
        <f>'Stavební rozpočet'!G202</f>
        <v>0</v>
      </c>
      <c r="BD201" s="135"/>
      <c r="BE201" s="135"/>
      <c r="BF201" s="135"/>
      <c r="BG201" s="135"/>
      <c r="BH201" s="135"/>
      <c r="BI201" s="135"/>
      <c r="BJ201" s="135"/>
      <c r="BK201" s="134">
        <f t="shared" si="6"/>
        <v>0</v>
      </c>
      <c r="BL201" s="135"/>
      <c r="BM201" s="135"/>
      <c r="BN201" s="135"/>
      <c r="BO201" s="135"/>
      <c r="BP201" s="135"/>
      <c r="BQ201" s="135"/>
      <c r="BR201" s="135"/>
      <c r="BS201" s="132" t="s">
        <v>1177</v>
      </c>
      <c r="BT201" s="133"/>
      <c r="BU201" s="133"/>
      <c r="BV201" s="133"/>
      <c r="BW201" s="133"/>
      <c r="BX201" s="133"/>
      <c r="IR201" s="46">
        <f t="shared" si="7"/>
        <v>0</v>
      </c>
      <c r="IS201" s="46">
        <f t="shared" si="8"/>
        <v>0</v>
      </c>
    </row>
    <row r="202" spans="1:253" ht="12.75">
      <c r="A202" s="132" t="s">
        <v>149</v>
      </c>
      <c r="B202" s="133"/>
      <c r="C202" s="132"/>
      <c r="D202" s="133"/>
      <c r="E202" s="133"/>
      <c r="F202" s="132" t="s">
        <v>521</v>
      </c>
      <c r="G202" s="133"/>
      <c r="H202" s="133"/>
      <c r="I202" s="133"/>
      <c r="J202" s="133"/>
      <c r="K202" s="133"/>
      <c r="L202" s="132" t="s">
        <v>922</v>
      </c>
      <c r="M202" s="133"/>
      <c r="N202" s="133"/>
      <c r="O202" s="133"/>
      <c r="P202" s="133"/>
      <c r="Q202" s="133"/>
      <c r="R202" s="133"/>
      <c r="S202" s="133"/>
      <c r="T202" s="133"/>
      <c r="U202" s="133"/>
      <c r="V202" s="133"/>
      <c r="W202" s="133"/>
      <c r="X202" s="133"/>
      <c r="Y202" s="133"/>
      <c r="Z202" s="133"/>
      <c r="AA202" s="133"/>
      <c r="AB202" s="133"/>
      <c r="AC202" s="133"/>
      <c r="AD202" s="133"/>
      <c r="AE202" s="133"/>
      <c r="AF202" s="133"/>
      <c r="AG202" s="133"/>
      <c r="AH202" s="133"/>
      <c r="AI202" s="133"/>
      <c r="AJ202" s="133"/>
      <c r="AK202" s="133"/>
      <c r="AL202" s="133"/>
      <c r="AM202" s="133"/>
      <c r="AN202" s="133"/>
      <c r="AO202" s="133"/>
      <c r="AP202" s="133"/>
      <c r="AQ202" s="133"/>
      <c r="AR202" s="133"/>
      <c r="AS202" s="133"/>
      <c r="AT202" s="133"/>
      <c r="AU202" s="133"/>
      <c r="AV202" s="132" t="s">
        <v>1153</v>
      </c>
      <c r="AW202" s="133"/>
      <c r="AX202" s="134">
        <f>'Stavební rozpočet'!F203</f>
        <v>1</v>
      </c>
      <c r="AY202" s="135"/>
      <c r="AZ202" s="135"/>
      <c r="BA202" s="135"/>
      <c r="BB202" s="135"/>
      <c r="BC202" s="134">
        <f>'Stavební rozpočet'!G203</f>
        <v>0</v>
      </c>
      <c r="BD202" s="135"/>
      <c r="BE202" s="135"/>
      <c r="BF202" s="135"/>
      <c r="BG202" s="135"/>
      <c r="BH202" s="135"/>
      <c r="BI202" s="135"/>
      <c r="BJ202" s="135"/>
      <c r="BK202" s="134">
        <f t="shared" si="6"/>
        <v>0</v>
      </c>
      <c r="BL202" s="135"/>
      <c r="BM202" s="135"/>
      <c r="BN202" s="135"/>
      <c r="BO202" s="135"/>
      <c r="BP202" s="135"/>
      <c r="BQ202" s="135"/>
      <c r="BR202" s="135"/>
      <c r="BS202" s="132" t="s">
        <v>1177</v>
      </c>
      <c r="BT202" s="133"/>
      <c r="BU202" s="133"/>
      <c r="BV202" s="133"/>
      <c r="BW202" s="133"/>
      <c r="BX202" s="133"/>
      <c r="IR202" s="46">
        <f t="shared" si="7"/>
        <v>0</v>
      </c>
      <c r="IS202" s="46">
        <f t="shared" si="8"/>
        <v>0</v>
      </c>
    </row>
    <row r="203" spans="1:253" ht="12.75">
      <c r="A203" s="132" t="s">
        <v>150</v>
      </c>
      <c r="B203" s="133"/>
      <c r="C203" s="132"/>
      <c r="D203" s="133"/>
      <c r="E203" s="133"/>
      <c r="F203" s="132" t="s">
        <v>522</v>
      </c>
      <c r="G203" s="133"/>
      <c r="H203" s="133"/>
      <c r="I203" s="133"/>
      <c r="J203" s="133"/>
      <c r="K203" s="133"/>
      <c r="L203" s="132" t="s">
        <v>923</v>
      </c>
      <c r="M203" s="133"/>
      <c r="N203" s="133"/>
      <c r="O203" s="133"/>
      <c r="P203" s="133"/>
      <c r="Q203" s="133"/>
      <c r="R203" s="133"/>
      <c r="S203" s="133"/>
      <c r="T203" s="133"/>
      <c r="U203" s="133"/>
      <c r="V203" s="133"/>
      <c r="W203" s="133"/>
      <c r="X203" s="133"/>
      <c r="Y203" s="133"/>
      <c r="Z203" s="133"/>
      <c r="AA203" s="133"/>
      <c r="AB203" s="133"/>
      <c r="AC203" s="133"/>
      <c r="AD203" s="133"/>
      <c r="AE203" s="133"/>
      <c r="AF203" s="133"/>
      <c r="AG203" s="133"/>
      <c r="AH203" s="133"/>
      <c r="AI203" s="133"/>
      <c r="AJ203" s="133"/>
      <c r="AK203" s="133"/>
      <c r="AL203" s="133"/>
      <c r="AM203" s="133"/>
      <c r="AN203" s="133"/>
      <c r="AO203" s="133"/>
      <c r="AP203" s="133"/>
      <c r="AQ203" s="133"/>
      <c r="AR203" s="133"/>
      <c r="AS203" s="133"/>
      <c r="AT203" s="133"/>
      <c r="AU203" s="133"/>
      <c r="AV203" s="132" t="s">
        <v>1153</v>
      </c>
      <c r="AW203" s="133"/>
      <c r="AX203" s="134">
        <f>'Stavební rozpočet'!F204</f>
        <v>2</v>
      </c>
      <c r="AY203" s="135"/>
      <c r="AZ203" s="135"/>
      <c r="BA203" s="135"/>
      <c r="BB203" s="135"/>
      <c r="BC203" s="134">
        <f>'Stavební rozpočet'!G204</f>
        <v>0</v>
      </c>
      <c r="BD203" s="135"/>
      <c r="BE203" s="135"/>
      <c r="BF203" s="135"/>
      <c r="BG203" s="135"/>
      <c r="BH203" s="135"/>
      <c r="BI203" s="135"/>
      <c r="BJ203" s="135"/>
      <c r="BK203" s="134">
        <f t="shared" si="6"/>
        <v>0</v>
      </c>
      <c r="BL203" s="135"/>
      <c r="BM203" s="135"/>
      <c r="BN203" s="135"/>
      <c r="BO203" s="135"/>
      <c r="BP203" s="135"/>
      <c r="BQ203" s="135"/>
      <c r="BR203" s="135"/>
      <c r="BS203" s="132" t="s">
        <v>1177</v>
      </c>
      <c r="BT203" s="133"/>
      <c r="BU203" s="133"/>
      <c r="BV203" s="133"/>
      <c r="BW203" s="133"/>
      <c r="BX203" s="133"/>
      <c r="IR203" s="46">
        <f t="shared" si="7"/>
        <v>0</v>
      </c>
      <c r="IS203" s="46">
        <f t="shared" si="8"/>
        <v>0</v>
      </c>
    </row>
    <row r="204" spans="1:253" ht="12.75">
      <c r="A204" s="132" t="s">
        <v>151</v>
      </c>
      <c r="B204" s="133"/>
      <c r="C204" s="132"/>
      <c r="D204" s="133"/>
      <c r="E204" s="133"/>
      <c r="F204" s="132" t="s">
        <v>523</v>
      </c>
      <c r="G204" s="133"/>
      <c r="H204" s="133"/>
      <c r="I204" s="133"/>
      <c r="J204" s="133"/>
      <c r="K204" s="133"/>
      <c r="L204" s="132" t="s">
        <v>924</v>
      </c>
      <c r="M204" s="133"/>
      <c r="N204" s="133"/>
      <c r="O204" s="133"/>
      <c r="P204" s="133"/>
      <c r="Q204" s="133"/>
      <c r="R204" s="133"/>
      <c r="S204" s="133"/>
      <c r="T204" s="133"/>
      <c r="U204" s="133"/>
      <c r="V204" s="133"/>
      <c r="W204" s="133"/>
      <c r="X204" s="133"/>
      <c r="Y204" s="133"/>
      <c r="Z204" s="133"/>
      <c r="AA204" s="133"/>
      <c r="AB204" s="133"/>
      <c r="AC204" s="133"/>
      <c r="AD204" s="133"/>
      <c r="AE204" s="133"/>
      <c r="AF204" s="133"/>
      <c r="AG204" s="133"/>
      <c r="AH204" s="133"/>
      <c r="AI204" s="133"/>
      <c r="AJ204" s="133"/>
      <c r="AK204" s="133"/>
      <c r="AL204" s="133"/>
      <c r="AM204" s="133"/>
      <c r="AN204" s="133"/>
      <c r="AO204" s="133"/>
      <c r="AP204" s="133"/>
      <c r="AQ204" s="133"/>
      <c r="AR204" s="133"/>
      <c r="AS204" s="133"/>
      <c r="AT204" s="133"/>
      <c r="AU204" s="133"/>
      <c r="AV204" s="132" t="s">
        <v>1153</v>
      </c>
      <c r="AW204" s="133"/>
      <c r="AX204" s="134">
        <f>'Stavební rozpočet'!F205</f>
        <v>1</v>
      </c>
      <c r="AY204" s="135"/>
      <c r="AZ204" s="135"/>
      <c r="BA204" s="135"/>
      <c r="BB204" s="135"/>
      <c r="BC204" s="134">
        <f>'Stavební rozpočet'!G205</f>
        <v>0</v>
      </c>
      <c r="BD204" s="135"/>
      <c r="BE204" s="135"/>
      <c r="BF204" s="135"/>
      <c r="BG204" s="135"/>
      <c r="BH204" s="135"/>
      <c r="BI204" s="135"/>
      <c r="BJ204" s="135"/>
      <c r="BK204" s="134">
        <f t="shared" si="6"/>
        <v>0</v>
      </c>
      <c r="BL204" s="135"/>
      <c r="BM204" s="135"/>
      <c r="BN204" s="135"/>
      <c r="BO204" s="135"/>
      <c r="BP204" s="135"/>
      <c r="BQ204" s="135"/>
      <c r="BR204" s="135"/>
      <c r="BS204" s="132" t="s">
        <v>1177</v>
      </c>
      <c r="BT204" s="133"/>
      <c r="BU204" s="133"/>
      <c r="BV204" s="133"/>
      <c r="BW204" s="133"/>
      <c r="BX204" s="133"/>
      <c r="IR204" s="46">
        <f t="shared" si="7"/>
        <v>0</v>
      </c>
      <c r="IS204" s="46">
        <f t="shared" si="8"/>
        <v>0</v>
      </c>
    </row>
    <row r="205" spans="1:253" ht="12.75">
      <c r="A205" s="132" t="s">
        <v>152</v>
      </c>
      <c r="B205" s="133"/>
      <c r="C205" s="132"/>
      <c r="D205" s="133"/>
      <c r="E205" s="133"/>
      <c r="F205" s="132" t="s">
        <v>524</v>
      </c>
      <c r="G205" s="133"/>
      <c r="H205" s="133"/>
      <c r="I205" s="133"/>
      <c r="J205" s="133"/>
      <c r="K205" s="133"/>
      <c r="L205" s="132" t="s">
        <v>925</v>
      </c>
      <c r="M205" s="133"/>
      <c r="N205" s="133"/>
      <c r="O205" s="133"/>
      <c r="P205" s="133"/>
      <c r="Q205" s="133"/>
      <c r="R205" s="133"/>
      <c r="S205" s="133"/>
      <c r="T205" s="133"/>
      <c r="U205" s="133"/>
      <c r="V205" s="133"/>
      <c r="W205" s="133"/>
      <c r="X205" s="133"/>
      <c r="Y205" s="133"/>
      <c r="Z205" s="133"/>
      <c r="AA205" s="133"/>
      <c r="AB205" s="133"/>
      <c r="AC205" s="133"/>
      <c r="AD205" s="133"/>
      <c r="AE205" s="133"/>
      <c r="AF205" s="133"/>
      <c r="AG205" s="133"/>
      <c r="AH205" s="133"/>
      <c r="AI205" s="133"/>
      <c r="AJ205" s="133"/>
      <c r="AK205" s="133"/>
      <c r="AL205" s="133"/>
      <c r="AM205" s="133"/>
      <c r="AN205" s="133"/>
      <c r="AO205" s="133"/>
      <c r="AP205" s="133"/>
      <c r="AQ205" s="133"/>
      <c r="AR205" s="133"/>
      <c r="AS205" s="133"/>
      <c r="AT205" s="133"/>
      <c r="AU205" s="133"/>
      <c r="AV205" s="132" t="s">
        <v>1153</v>
      </c>
      <c r="AW205" s="133"/>
      <c r="AX205" s="134">
        <f>'Stavební rozpočet'!F206</f>
        <v>1</v>
      </c>
      <c r="AY205" s="135"/>
      <c r="AZ205" s="135"/>
      <c r="BA205" s="135"/>
      <c r="BB205" s="135"/>
      <c r="BC205" s="134">
        <f>'Stavební rozpočet'!G206</f>
        <v>0</v>
      </c>
      <c r="BD205" s="135"/>
      <c r="BE205" s="135"/>
      <c r="BF205" s="135"/>
      <c r="BG205" s="135"/>
      <c r="BH205" s="135"/>
      <c r="BI205" s="135"/>
      <c r="BJ205" s="135"/>
      <c r="BK205" s="134">
        <f t="shared" si="6"/>
        <v>0</v>
      </c>
      <c r="BL205" s="135"/>
      <c r="BM205" s="135"/>
      <c r="BN205" s="135"/>
      <c r="BO205" s="135"/>
      <c r="BP205" s="135"/>
      <c r="BQ205" s="135"/>
      <c r="BR205" s="135"/>
      <c r="BS205" s="132" t="s">
        <v>1177</v>
      </c>
      <c r="BT205" s="133"/>
      <c r="BU205" s="133"/>
      <c r="BV205" s="133"/>
      <c r="BW205" s="133"/>
      <c r="BX205" s="133"/>
      <c r="IR205" s="46">
        <f t="shared" si="7"/>
        <v>0</v>
      </c>
      <c r="IS205" s="46">
        <f t="shared" si="8"/>
        <v>0</v>
      </c>
    </row>
    <row r="206" spans="1:253" ht="12.75">
      <c r="A206" s="132" t="s">
        <v>153</v>
      </c>
      <c r="B206" s="133"/>
      <c r="C206" s="132"/>
      <c r="D206" s="133"/>
      <c r="E206" s="133"/>
      <c r="F206" s="132" t="s">
        <v>525</v>
      </c>
      <c r="G206" s="133"/>
      <c r="H206" s="133"/>
      <c r="I206" s="133"/>
      <c r="J206" s="133"/>
      <c r="K206" s="133"/>
      <c r="L206" s="132" t="s">
        <v>926</v>
      </c>
      <c r="M206" s="133"/>
      <c r="N206" s="133"/>
      <c r="O206" s="133"/>
      <c r="P206" s="133"/>
      <c r="Q206" s="133"/>
      <c r="R206" s="133"/>
      <c r="S206" s="133"/>
      <c r="T206" s="133"/>
      <c r="U206" s="133"/>
      <c r="V206" s="133"/>
      <c r="W206" s="133"/>
      <c r="X206" s="133"/>
      <c r="Y206" s="133"/>
      <c r="Z206" s="133"/>
      <c r="AA206" s="133"/>
      <c r="AB206" s="133"/>
      <c r="AC206" s="133"/>
      <c r="AD206" s="133"/>
      <c r="AE206" s="133"/>
      <c r="AF206" s="133"/>
      <c r="AG206" s="133"/>
      <c r="AH206" s="133"/>
      <c r="AI206" s="133"/>
      <c r="AJ206" s="133"/>
      <c r="AK206" s="133"/>
      <c r="AL206" s="133"/>
      <c r="AM206" s="133"/>
      <c r="AN206" s="133"/>
      <c r="AO206" s="133"/>
      <c r="AP206" s="133"/>
      <c r="AQ206" s="133"/>
      <c r="AR206" s="133"/>
      <c r="AS206" s="133"/>
      <c r="AT206" s="133"/>
      <c r="AU206" s="133"/>
      <c r="AV206" s="132" t="s">
        <v>1153</v>
      </c>
      <c r="AW206" s="133"/>
      <c r="AX206" s="134">
        <f>'Stavební rozpočet'!F207</f>
        <v>13</v>
      </c>
      <c r="AY206" s="135"/>
      <c r="AZ206" s="135"/>
      <c r="BA206" s="135"/>
      <c r="BB206" s="135"/>
      <c r="BC206" s="134">
        <f>'Stavební rozpočet'!G207</f>
        <v>0</v>
      </c>
      <c r="BD206" s="135"/>
      <c r="BE206" s="135"/>
      <c r="BF206" s="135"/>
      <c r="BG206" s="135"/>
      <c r="BH206" s="135"/>
      <c r="BI206" s="135"/>
      <c r="BJ206" s="135"/>
      <c r="BK206" s="134">
        <f t="shared" si="6"/>
        <v>0</v>
      </c>
      <c r="BL206" s="135"/>
      <c r="BM206" s="135"/>
      <c r="BN206" s="135"/>
      <c r="BO206" s="135"/>
      <c r="BP206" s="135"/>
      <c r="BQ206" s="135"/>
      <c r="BR206" s="135"/>
      <c r="BS206" s="132" t="s">
        <v>1177</v>
      </c>
      <c r="BT206" s="133"/>
      <c r="BU206" s="133"/>
      <c r="BV206" s="133"/>
      <c r="BW206" s="133"/>
      <c r="BX206" s="133"/>
      <c r="IR206" s="46">
        <f t="shared" si="7"/>
        <v>0</v>
      </c>
      <c r="IS206" s="46">
        <f t="shared" si="8"/>
        <v>0</v>
      </c>
    </row>
    <row r="207" spans="1:253" ht="12.75">
      <c r="A207" s="132" t="s">
        <v>154</v>
      </c>
      <c r="B207" s="133"/>
      <c r="C207" s="132"/>
      <c r="D207" s="133"/>
      <c r="E207" s="133"/>
      <c r="F207" s="132" t="s">
        <v>526</v>
      </c>
      <c r="G207" s="133"/>
      <c r="H207" s="133"/>
      <c r="I207" s="133"/>
      <c r="J207" s="133"/>
      <c r="K207" s="133"/>
      <c r="L207" s="132" t="s">
        <v>927</v>
      </c>
      <c r="M207" s="133"/>
      <c r="N207" s="133"/>
      <c r="O207" s="133"/>
      <c r="P207" s="133"/>
      <c r="Q207" s="133"/>
      <c r="R207" s="133"/>
      <c r="S207" s="133"/>
      <c r="T207" s="133"/>
      <c r="U207" s="133"/>
      <c r="V207" s="133"/>
      <c r="W207" s="133"/>
      <c r="X207" s="133"/>
      <c r="Y207" s="133"/>
      <c r="Z207" s="133"/>
      <c r="AA207" s="133"/>
      <c r="AB207" s="133"/>
      <c r="AC207" s="133"/>
      <c r="AD207" s="133"/>
      <c r="AE207" s="133"/>
      <c r="AF207" s="133"/>
      <c r="AG207" s="133"/>
      <c r="AH207" s="133"/>
      <c r="AI207" s="133"/>
      <c r="AJ207" s="133"/>
      <c r="AK207" s="133"/>
      <c r="AL207" s="133"/>
      <c r="AM207" s="133"/>
      <c r="AN207" s="133"/>
      <c r="AO207" s="133"/>
      <c r="AP207" s="133"/>
      <c r="AQ207" s="133"/>
      <c r="AR207" s="133"/>
      <c r="AS207" s="133"/>
      <c r="AT207" s="133"/>
      <c r="AU207" s="133"/>
      <c r="AV207" s="132" t="s">
        <v>1153</v>
      </c>
      <c r="AW207" s="133"/>
      <c r="AX207" s="134">
        <f>'Stavební rozpočet'!F208</f>
        <v>6</v>
      </c>
      <c r="AY207" s="135"/>
      <c r="AZ207" s="135"/>
      <c r="BA207" s="135"/>
      <c r="BB207" s="135"/>
      <c r="BC207" s="134">
        <f>'Stavební rozpočet'!G208</f>
        <v>0</v>
      </c>
      <c r="BD207" s="135"/>
      <c r="BE207" s="135"/>
      <c r="BF207" s="135"/>
      <c r="BG207" s="135"/>
      <c r="BH207" s="135"/>
      <c r="BI207" s="135"/>
      <c r="BJ207" s="135"/>
      <c r="BK207" s="134">
        <f t="shared" si="6"/>
        <v>0</v>
      </c>
      <c r="BL207" s="135"/>
      <c r="BM207" s="135"/>
      <c r="BN207" s="135"/>
      <c r="BO207" s="135"/>
      <c r="BP207" s="135"/>
      <c r="BQ207" s="135"/>
      <c r="BR207" s="135"/>
      <c r="BS207" s="132" t="s">
        <v>1177</v>
      </c>
      <c r="BT207" s="133"/>
      <c r="BU207" s="133"/>
      <c r="BV207" s="133"/>
      <c r="BW207" s="133"/>
      <c r="BX207" s="133"/>
      <c r="IR207" s="46">
        <f t="shared" si="7"/>
        <v>0</v>
      </c>
      <c r="IS207" s="46">
        <f t="shared" si="8"/>
        <v>0</v>
      </c>
    </row>
    <row r="208" spans="1:253" ht="12.75">
      <c r="A208" s="132" t="s">
        <v>155</v>
      </c>
      <c r="B208" s="133"/>
      <c r="C208" s="132"/>
      <c r="D208" s="133"/>
      <c r="E208" s="133"/>
      <c r="F208" s="132" t="s">
        <v>527</v>
      </c>
      <c r="G208" s="133"/>
      <c r="H208" s="133"/>
      <c r="I208" s="133"/>
      <c r="J208" s="133"/>
      <c r="K208" s="133"/>
      <c r="L208" s="132" t="s">
        <v>928</v>
      </c>
      <c r="M208" s="133"/>
      <c r="N208" s="133"/>
      <c r="O208" s="133"/>
      <c r="P208" s="133"/>
      <c r="Q208" s="133"/>
      <c r="R208" s="133"/>
      <c r="S208" s="133"/>
      <c r="T208" s="133"/>
      <c r="U208" s="133"/>
      <c r="V208" s="133"/>
      <c r="W208" s="133"/>
      <c r="X208" s="133"/>
      <c r="Y208" s="133"/>
      <c r="Z208" s="133"/>
      <c r="AA208" s="133"/>
      <c r="AB208" s="133"/>
      <c r="AC208" s="133"/>
      <c r="AD208" s="133"/>
      <c r="AE208" s="133"/>
      <c r="AF208" s="133"/>
      <c r="AG208" s="133"/>
      <c r="AH208" s="133"/>
      <c r="AI208" s="133"/>
      <c r="AJ208" s="133"/>
      <c r="AK208" s="133"/>
      <c r="AL208" s="133"/>
      <c r="AM208" s="133"/>
      <c r="AN208" s="133"/>
      <c r="AO208" s="133"/>
      <c r="AP208" s="133"/>
      <c r="AQ208" s="133"/>
      <c r="AR208" s="133"/>
      <c r="AS208" s="133"/>
      <c r="AT208" s="133"/>
      <c r="AU208" s="133"/>
      <c r="AV208" s="132" t="s">
        <v>1153</v>
      </c>
      <c r="AW208" s="133"/>
      <c r="AX208" s="134">
        <f>'Stavební rozpočet'!F209</f>
        <v>2</v>
      </c>
      <c r="AY208" s="135"/>
      <c r="AZ208" s="135"/>
      <c r="BA208" s="135"/>
      <c r="BB208" s="135"/>
      <c r="BC208" s="134">
        <f>'Stavební rozpočet'!G209</f>
        <v>0</v>
      </c>
      <c r="BD208" s="135"/>
      <c r="BE208" s="135"/>
      <c r="BF208" s="135"/>
      <c r="BG208" s="135"/>
      <c r="BH208" s="135"/>
      <c r="BI208" s="135"/>
      <c r="BJ208" s="135"/>
      <c r="BK208" s="134">
        <f t="shared" si="6"/>
        <v>0</v>
      </c>
      <c r="BL208" s="135"/>
      <c r="BM208" s="135"/>
      <c r="BN208" s="135"/>
      <c r="BO208" s="135"/>
      <c r="BP208" s="135"/>
      <c r="BQ208" s="135"/>
      <c r="BR208" s="135"/>
      <c r="BS208" s="132" t="s">
        <v>1177</v>
      </c>
      <c r="BT208" s="133"/>
      <c r="BU208" s="133"/>
      <c r="BV208" s="133"/>
      <c r="BW208" s="133"/>
      <c r="BX208" s="133"/>
      <c r="IR208" s="46">
        <f t="shared" si="7"/>
        <v>0</v>
      </c>
      <c r="IS208" s="46">
        <f t="shared" si="8"/>
        <v>0</v>
      </c>
    </row>
    <row r="209" spans="1:253" ht="12.75">
      <c r="A209" s="132" t="s">
        <v>156</v>
      </c>
      <c r="B209" s="133"/>
      <c r="C209" s="132"/>
      <c r="D209" s="133"/>
      <c r="E209" s="133"/>
      <c r="F209" s="132" t="s">
        <v>528</v>
      </c>
      <c r="G209" s="133"/>
      <c r="H209" s="133"/>
      <c r="I209" s="133"/>
      <c r="J209" s="133"/>
      <c r="K209" s="133"/>
      <c r="L209" s="132" t="s">
        <v>929</v>
      </c>
      <c r="M209" s="133"/>
      <c r="N209" s="133"/>
      <c r="O209" s="133"/>
      <c r="P209" s="133"/>
      <c r="Q209" s="133"/>
      <c r="R209" s="133"/>
      <c r="S209" s="133"/>
      <c r="T209" s="133"/>
      <c r="U209" s="133"/>
      <c r="V209" s="133"/>
      <c r="W209" s="133"/>
      <c r="X209" s="133"/>
      <c r="Y209" s="133"/>
      <c r="Z209" s="133"/>
      <c r="AA209" s="133"/>
      <c r="AB209" s="133"/>
      <c r="AC209" s="133"/>
      <c r="AD209" s="133"/>
      <c r="AE209" s="133"/>
      <c r="AF209" s="133"/>
      <c r="AG209" s="133"/>
      <c r="AH209" s="133"/>
      <c r="AI209" s="133"/>
      <c r="AJ209" s="133"/>
      <c r="AK209" s="133"/>
      <c r="AL209" s="133"/>
      <c r="AM209" s="133"/>
      <c r="AN209" s="133"/>
      <c r="AO209" s="133"/>
      <c r="AP209" s="133"/>
      <c r="AQ209" s="133"/>
      <c r="AR209" s="133"/>
      <c r="AS209" s="133"/>
      <c r="AT209" s="133"/>
      <c r="AU209" s="133"/>
      <c r="AV209" s="132" t="s">
        <v>1153</v>
      </c>
      <c r="AW209" s="133"/>
      <c r="AX209" s="134">
        <f>'Stavební rozpočet'!F210</f>
        <v>3</v>
      </c>
      <c r="AY209" s="135"/>
      <c r="AZ209" s="135"/>
      <c r="BA209" s="135"/>
      <c r="BB209" s="135"/>
      <c r="BC209" s="134">
        <f>'Stavební rozpočet'!G210</f>
        <v>0</v>
      </c>
      <c r="BD209" s="135"/>
      <c r="BE209" s="135"/>
      <c r="BF209" s="135"/>
      <c r="BG209" s="135"/>
      <c r="BH209" s="135"/>
      <c r="BI209" s="135"/>
      <c r="BJ209" s="135"/>
      <c r="BK209" s="134">
        <f t="shared" si="6"/>
        <v>0</v>
      </c>
      <c r="BL209" s="135"/>
      <c r="BM209" s="135"/>
      <c r="BN209" s="135"/>
      <c r="BO209" s="135"/>
      <c r="BP209" s="135"/>
      <c r="BQ209" s="135"/>
      <c r="BR209" s="135"/>
      <c r="BS209" s="132" t="s">
        <v>1177</v>
      </c>
      <c r="BT209" s="133"/>
      <c r="BU209" s="133"/>
      <c r="BV209" s="133"/>
      <c r="BW209" s="133"/>
      <c r="BX209" s="133"/>
      <c r="IR209" s="46">
        <f t="shared" si="7"/>
        <v>0</v>
      </c>
      <c r="IS209" s="46">
        <f t="shared" si="8"/>
        <v>0</v>
      </c>
    </row>
    <row r="210" spans="1:253" ht="12.75">
      <c r="A210" s="132" t="s">
        <v>157</v>
      </c>
      <c r="B210" s="133"/>
      <c r="C210" s="132"/>
      <c r="D210" s="133"/>
      <c r="E210" s="133"/>
      <c r="F210" s="132" t="s">
        <v>529</v>
      </c>
      <c r="G210" s="133"/>
      <c r="H210" s="133"/>
      <c r="I210" s="133"/>
      <c r="J210" s="133"/>
      <c r="K210" s="133"/>
      <c r="L210" s="132" t="s">
        <v>930</v>
      </c>
      <c r="M210" s="133"/>
      <c r="N210" s="133"/>
      <c r="O210" s="133"/>
      <c r="P210" s="133"/>
      <c r="Q210" s="133"/>
      <c r="R210" s="133"/>
      <c r="S210" s="133"/>
      <c r="T210" s="133"/>
      <c r="U210" s="133"/>
      <c r="V210" s="133"/>
      <c r="W210" s="133"/>
      <c r="X210" s="133"/>
      <c r="Y210" s="133"/>
      <c r="Z210" s="133"/>
      <c r="AA210" s="133"/>
      <c r="AB210" s="133"/>
      <c r="AC210" s="133"/>
      <c r="AD210" s="133"/>
      <c r="AE210" s="133"/>
      <c r="AF210" s="133"/>
      <c r="AG210" s="133"/>
      <c r="AH210" s="133"/>
      <c r="AI210" s="133"/>
      <c r="AJ210" s="133"/>
      <c r="AK210" s="133"/>
      <c r="AL210" s="133"/>
      <c r="AM210" s="133"/>
      <c r="AN210" s="133"/>
      <c r="AO210" s="133"/>
      <c r="AP210" s="133"/>
      <c r="AQ210" s="133"/>
      <c r="AR210" s="133"/>
      <c r="AS210" s="133"/>
      <c r="AT210" s="133"/>
      <c r="AU210" s="133"/>
      <c r="AV210" s="132" t="s">
        <v>1153</v>
      </c>
      <c r="AW210" s="133"/>
      <c r="AX210" s="134">
        <f>'Stavební rozpočet'!F211</f>
        <v>1</v>
      </c>
      <c r="AY210" s="135"/>
      <c r="AZ210" s="135"/>
      <c r="BA210" s="135"/>
      <c r="BB210" s="135"/>
      <c r="BC210" s="134">
        <f>'Stavební rozpočet'!G211</f>
        <v>0</v>
      </c>
      <c r="BD210" s="135"/>
      <c r="BE210" s="135"/>
      <c r="BF210" s="135"/>
      <c r="BG210" s="135"/>
      <c r="BH210" s="135"/>
      <c r="BI210" s="135"/>
      <c r="BJ210" s="135"/>
      <c r="BK210" s="134">
        <f t="shared" si="6"/>
        <v>0</v>
      </c>
      <c r="BL210" s="135"/>
      <c r="BM210" s="135"/>
      <c r="BN210" s="135"/>
      <c r="BO210" s="135"/>
      <c r="BP210" s="135"/>
      <c r="BQ210" s="135"/>
      <c r="BR210" s="135"/>
      <c r="BS210" s="132" t="s">
        <v>1177</v>
      </c>
      <c r="BT210" s="133"/>
      <c r="BU210" s="133"/>
      <c r="BV210" s="133"/>
      <c r="BW210" s="133"/>
      <c r="BX210" s="133"/>
      <c r="IR210" s="46">
        <f t="shared" si="7"/>
        <v>0</v>
      </c>
      <c r="IS210" s="46">
        <f t="shared" si="8"/>
        <v>0</v>
      </c>
    </row>
    <row r="211" spans="1:253" ht="12.75">
      <c r="A211" s="132" t="s">
        <v>158</v>
      </c>
      <c r="B211" s="133"/>
      <c r="C211" s="132"/>
      <c r="D211" s="133"/>
      <c r="E211" s="133"/>
      <c r="F211" s="132" t="s">
        <v>530</v>
      </c>
      <c r="G211" s="133"/>
      <c r="H211" s="133"/>
      <c r="I211" s="133"/>
      <c r="J211" s="133"/>
      <c r="K211" s="133"/>
      <c r="L211" s="132" t="s">
        <v>931</v>
      </c>
      <c r="M211" s="133"/>
      <c r="N211" s="133"/>
      <c r="O211" s="133"/>
      <c r="P211" s="133"/>
      <c r="Q211" s="133"/>
      <c r="R211" s="133"/>
      <c r="S211" s="133"/>
      <c r="T211" s="133"/>
      <c r="U211" s="133"/>
      <c r="V211" s="133"/>
      <c r="W211" s="133"/>
      <c r="X211" s="133"/>
      <c r="Y211" s="133"/>
      <c r="Z211" s="133"/>
      <c r="AA211" s="133"/>
      <c r="AB211" s="133"/>
      <c r="AC211" s="133"/>
      <c r="AD211" s="133"/>
      <c r="AE211" s="133"/>
      <c r="AF211" s="133"/>
      <c r="AG211" s="133"/>
      <c r="AH211" s="133"/>
      <c r="AI211" s="133"/>
      <c r="AJ211" s="133"/>
      <c r="AK211" s="133"/>
      <c r="AL211" s="133"/>
      <c r="AM211" s="133"/>
      <c r="AN211" s="133"/>
      <c r="AO211" s="133"/>
      <c r="AP211" s="133"/>
      <c r="AQ211" s="133"/>
      <c r="AR211" s="133"/>
      <c r="AS211" s="133"/>
      <c r="AT211" s="133"/>
      <c r="AU211" s="133"/>
      <c r="AV211" s="132" t="s">
        <v>1153</v>
      </c>
      <c r="AW211" s="133"/>
      <c r="AX211" s="134">
        <f>'Stavební rozpočet'!F212</f>
        <v>1</v>
      </c>
      <c r="AY211" s="135"/>
      <c r="AZ211" s="135"/>
      <c r="BA211" s="135"/>
      <c r="BB211" s="135"/>
      <c r="BC211" s="134">
        <f>'Stavební rozpočet'!G212</f>
        <v>0</v>
      </c>
      <c r="BD211" s="135"/>
      <c r="BE211" s="135"/>
      <c r="BF211" s="135"/>
      <c r="BG211" s="135"/>
      <c r="BH211" s="135"/>
      <c r="BI211" s="135"/>
      <c r="BJ211" s="135"/>
      <c r="BK211" s="134">
        <f t="shared" si="6"/>
        <v>0</v>
      </c>
      <c r="BL211" s="135"/>
      <c r="BM211" s="135"/>
      <c r="BN211" s="135"/>
      <c r="BO211" s="135"/>
      <c r="BP211" s="135"/>
      <c r="BQ211" s="135"/>
      <c r="BR211" s="135"/>
      <c r="BS211" s="132" t="s">
        <v>1177</v>
      </c>
      <c r="BT211" s="133"/>
      <c r="BU211" s="133"/>
      <c r="BV211" s="133"/>
      <c r="BW211" s="133"/>
      <c r="BX211" s="133"/>
      <c r="IR211" s="46">
        <f t="shared" si="7"/>
        <v>0</v>
      </c>
      <c r="IS211" s="46">
        <f t="shared" si="8"/>
        <v>0</v>
      </c>
    </row>
    <row r="212" spans="1:253" ht="12.75">
      <c r="A212" s="132" t="s">
        <v>159</v>
      </c>
      <c r="B212" s="133"/>
      <c r="C212" s="132"/>
      <c r="D212" s="133"/>
      <c r="E212" s="133"/>
      <c r="F212" s="132" t="s">
        <v>531</v>
      </c>
      <c r="G212" s="133"/>
      <c r="H212" s="133"/>
      <c r="I212" s="133"/>
      <c r="J212" s="133"/>
      <c r="K212" s="133"/>
      <c r="L212" s="132" t="s">
        <v>932</v>
      </c>
      <c r="M212" s="133"/>
      <c r="N212" s="133"/>
      <c r="O212" s="133"/>
      <c r="P212" s="133"/>
      <c r="Q212" s="133"/>
      <c r="R212" s="133"/>
      <c r="S212" s="133"/>
      <c r="T212" s="133"/>
      <c r="U212" s="133"/>
      <c r="V212" s="133"/>
      <c r="W212" s="133"/>
      <c r="X212" s="133"/>
      <c r="Y212" s="133"/>
      <c r="Z212" s="133"/>
      <c r="AA212" s="133"/>
      <c r="AB212" s="133"/>
      <c r="AC212" s="133"/>
      <c r="AD212" s="133"/>
      <c r="AE212" s="133"/>
      <c r="AF212" s="133"/>
      <c r="AG212" s="133"/>
      <c r="AH212" s="133"/>
      <c r="AI212" s="133"/>
      <c r="AJ212" s="133"/>
      <c r="AK212" s="133"/>
      <c r="AL212" s="133"/>
      <c r="AM212" s="133"/>
      <c r="AN212" s="133"/>
      <c r="AO212" s="133"/>
      <c r="AP212" s="133"/>
      <c r="AQ212" s="133"/>
      <c r="AR212" s="133"/>
      <c r="AS212" s="133"/>
      <c r="AT212" s="133"/>
      <c r="AU212" s="133"/>
      <c r="AV212" s="132" t="s">
        <v>1153</v>
      </c>
      <c r="AW212" s="133"/>
      <c r="AX212" s="134">
        <f>'Stavební rozpočet'!F213</f>
        <v>1</v>
      </c>
      <c r="AY212" s="135"/>
      <c r="AZ212" s="135"/>
      <c r="BA212" s="135"/>
      <c r="BB212" s="135"/>
      <c r="BC212" s="134">
        <f>'Stavební rozpočet'!G213</f>
        <v>0</v>
      </c>
      <c r="BD212" s="135"/>
      <c r="BE212" s="135"/>
      <c r="BF212" s="135"/>
      <c r="BG212" s="135"/>
      <c r="BH212" s="135"/>
      <c r="BI212" s="135"/>
      <c r="BJ212" s="135"/>
      <c r="BK212" s="134">
        <f t="shared" si="6"/>
        <v>0</v>
      </c>
      <c r="BL212" s="135"/>
      <c r="BM212" s="135"/>
      <c r="BN212" s="135"/>
      <c r="BO212" s="135"/>
      <c r="BP212" s="135"/>
      <c r="BQ212" s="135"/>
      <c r="BR212" s="135"/>
      <c r="BS212" s="132" t="s">
        <v>1177</v>
      </c>
      <c r="BT212" s="133"/>
      <c r="BU212" s="133"/>
      <c r="BV212" s="133"/>
      <c r="BW212" s="133"/>
      <c r="BX212" s="133"/>
      <c r="IR212" s="46">
        <f t="shared" si="7"/>
        <v>0</v>
      </c>
      <c r="IS212" s="46">
        <f t="shared" si="8"/>
        <v>0</v>
      </c>
    </row>
    <row r="213" spans="1:253" ht="12.75">
      <c r="A213" s="132" t="s">
        <v>160</v>
      </c>
      <c r="B213" s="133"/>
      <c r="C213" s="132"/>
      <c r="D213" s="133"/>
      <c r="E213" s="133"/>
      <c r="F213" s="132" t="s">
        <v>532</v>
      </c>
      <c r="G213" s="133"/>
      <c r="H213" s="133"/>
      <c r="I213" s="133"/>
      <c r="J213" s="133"/>
      <c r="K213" s="133"/>
      <c r="L213" s="132" t="s">
        <v>933</v>
      </c>
      <c r="M213" s="133"/>
      <c r="N213" s="133"/>
      <c r="O213" s="133"/>
      <c r="P213" s="133"/>
      <c r="Q213" s="133"/>
      <c r="R213" s="133"/>
      <c r="S213" s="133"/>
      <c r="T213" s="133"/>
      <c r="U213" s="133"/>
      <c r="V213" s="133"/>
      <c r="W213" s="133"/>
      <c r="X213" s="133"/>
      <c r="Y213" s="133"/>
      <c r="Z213" s="133"/>
      <c r="AA213" s="133"/>
      <c r="AB213" s="133"/>
      <c r="AC213" s="133"/>
      <c r="AD213" s="133"/>
      <c r="AE213" s="133"/>
      <c r="AF213" s="133"/>
      <c r="AG213" s="133"/>
      <c r="AH213" s="133"/>
      <c r="AI213" s="133"/>
      <c r="AJ213" s="133"/>
      <c r="AK213" s="133"/>
      <c r="AL213" s="133"/>
      <c r="AM213" s="133"/>
      <c r="AN213" s="133"/>
      <c r="AO213" s="133"/>
      <c r="AP213" s="133"/>
      <c r="AQ213" s="133"/>
      <c r="AR213" s="133"/>
      <c r="AS213" s="133"/>
      <c r="AT213" s="133"/>
      <c r="AU213" s="133"/>
      <c r="AV213" s="132" t="s">
        <v>1153</v>
      </c>
      <c r="AW213" s="133"/>
      <c r="AX213" s="134">
        <f>'Stavební rozpočet'!F214</f>
        <v>1</v>
      </c>
      <c r="AY213" s="135"/>
      <c r="AZ213" s="135"/>
      <c r="BA213" s="135"/>
      <c r="BB213" s="135"/>
      <c r="BC213" s="134">
        <f>'Stavební rozpočet'!G214</f>
        <v>0</v>
      </c>
      <c r="BD213" s="135"/>
      <c r="BE213" s="135"/>
      <c r="BF213" s="135"/>
      <c r="BG213" s="135"/>
      <c r="BH213" s="135"/>
      <c r="BI213" s="135"/>
      <c r="BJ213" s="135"/>
      <c r="BK213" s="134">
        <f t="shared" si="6"/>
        <v>0</v>
      </c>
      <c r="BL213" s="135"/>
      <c r="BM213" s="135"/>
      <c r="BN213" s="135"/>
      <c r="BO213" s="135"/>
      <c r="BP213" s="135"/>
      <c r="BQ213" s="135"/>
      <c r="BR213" s="135"/>
      <c r="BS213" s="132" t="s">
        <v>1177</v>
      </c>
      <c r="BT213" s="133"/>
      <c r="BU213" s="133"/>
      <c r="BV213" s="133"/>
      <c r="BW213" s="133"/>
      <c r="BX213" s="133"/>
      <c r="IR213" s="46">
        <f t="shared" si="7"/>
        <v>0</v>
      </c>
      <c r="IS213" s="46">
        <f t="shared" si="8"/>
        <v>0</v>
      </c>
    </row>
    <row r="214" spans="1:253" ht="12.75">
      <c r="A214" s="132" t="s">
        <v>161</v>
      </c>
      <c r="B214" s="133"/>
      <c r="C214" s="132"/>
      <c r="D214" s="133"/>
      <c r="E214" s="133"/>
      <c r="F214" s="132" t="s">
        <v>533</v>
      </c>
      <c r="G214" s="133"/>
      <c r="H214" s="133"/>
      <c r="I214" s="133"/>
      <c r="J214" s="133"/>
      <c r="K214" s="133"/>
      <c r="L214" s="132" t="s">
        <v>934</v>
      </c>
      <c r="M214" s="133"/>
      <c r="N214" s="133"/>
      <c r="O214" s="133"/>
      <c r="P214" s="133"/>
      <c r="Q214" s="133"/>
      <c r="R214" s="133"/>
      <c r="S214" s="133"/>
      <c r="T214" s="133"/>
      <c r="U214" s="133"/>
      <c r="V214" s="133"/>
      <c r="W214" s="133"/>
      <c r="X214" s="133"/>
      <c r="Y214" s="133"/>
      <c r="Z214" s="133"/>
      <c r="AA214" s="133"/>
      <c r="AB214" s="133"/>
      <c r="AC214" s="133"/>
      <c r="AD214" s="133"/>
      <c r="AE214" s="133"/>
      <c r="AF214" s="133"/>
      <c r="AG214" s="133"/>
      <c r="AH214" s="133"/>
      <c r="AI214" s="133"/>
      <c r="AJ214" s="133"/>
      <c r="AK214" s="133"/>
      <c r="AL214" s="133"/>
      <c r="AM214" s="133"/>
      <c r="AN214" s="133"/>
      <c r="AO214" s="133"/>
      <c r="AP214" s="133"/>
      <c r="AQ214" s="133"/>
      <c r="AR214" s="133"/>
      <c r="AS214" s="133"/>
      <c r="AT214" s="133"/>
      <c r="AU214" s="133"/>
      <c r="AV214" s="132" t="s">
        <v>1153</v>
      </c>
      <c r="AW214" s="133"/>
      <c r="AX214" s="134">
        <f>'Stavební rozpočet'!F215</f>
        <v>1</v>
      </c>
      <c r="AY214" s="135"/>
      <c r="AZ214" s="135"/>
      <c r="BA214" s="135"/>
      <c r="BB214" s="135"/>
      <c r="BC214" s="134">
        <f>'Stavební rozpočet'!G215</f>
        <v>0</v>
      </c>
      <c r="BD214" s="135"/>
      <c r="BE214" s="135"/>
      <c r="BF214" s="135"/>
      <c r="BG214" s="135"/>
      <c r="BH214" s="135"/>
      <c r="BI214" s="135"/>
      <c r="BJ214" s="135"/>
      <c r="BK214" s="134">
        <f aca="true" t="shared" si="9" ref="BK214:BK230">IR214*AX214+IS214*AX214</f>
        <v>0</v>
      </c>
      <c r="BL214" s="135"/>
      <c r="BM214" s="135"/>
      <c r="BN214" s="135"/>
      <c r="BO214" s="135"/>
      <c r="BP214" s="135"/>
      <c r="BQ214" s="135"/>
      <c r="BR214" s="135"/>
      <c r="BS214" s="132" t="s">
        <v>1177</v>
      </c>
      <c r="BT214" s="133"/>
      <c r="BU214" s="133"/>
      <c r="BV214" s="133"/>
      <c r="BW214" s="133"/>
      <c r="BX214" s="133"/>
      <c r="IR214" s="46">
        <f aca="true" t="shared" si="10" ref="IR214:IR230">BC214*0</f>
        <v>0</v>
      </c>
      <c r="IS214" s="46">
        <f aca="true" t="shared" si="11" ref="IS214:IS230">BC214*(1-0)</f>
        <v>0</v>
      </c>
    </row>
    <row r="215" spans="1:253" ht="12.75">
      <c r="A215" s="132" t="s">
        <v>162</v>
      </c>
      <c r="B215" s="133"/>
      <c r="C215" s="132"/>
      <c r="D215" s="133"/>
      <c r="E215" s="133"/>
      <c r="F215" s="132" t="s">
        <v>534</v>
      </c>
      <c r="G215" s="133"/>
      <c r="H215" s="133"/>
      <c r="I215" s="133"/>
      <c r="J215" s="133"/>
      <c r="K215" s="133"/>
      <c r="L215" s="132" t="s">
        <v>935</v>
      </c>
      <c r="M215" s="133"/>
      <c r="N215" s="133"/>
      <c r="O215" s="133"/>
      <c r="P215" s="133"/>
      <c r="Q215" s="133"/>
      <c r="R215" s="133"/>
      <c r="S215" s="133"/>
      <c r="T215" s="133"/>
      <c r="U215" s="133"/>
      <c r="V215" s="133"/>
      <c r="W215" s="133"/>
      <c r="X215" s="133"/>
      <c r="Y215" s="133"/>
      <c r="Z215" s="133"/>
      <c r="AA215" s="133"/>
      <c r="AB215" s="133"/>
      <c r="AC215" s="133"/>
      <c r="AD215" s="133"/>
      <c r="AE215" s="133"/>
      <c r="AF215" s="133"/>
      <c r="AG215" s="133"/>
      <c r="AH215" s="133"/>
      <c r="AI215" s="133"/>
      <c r="AJ215" s="133"/>
      <c r="AK215" s="133"/>
      <c r="AL215" s="133"/>
      <c r="AM215" s="133"/>
      <c r="AN215" s="133"/>
      <c r="AO215" s="133"/>
      <c r="AP215" s="133"/>
      <c r="AQ215" s="133"/>
      <c r="AR215" s="133"/>
      <c r="AS215" s="133"/>
      <c r="AT215" s="133"/>
      <c r="AU215" s="133"/>
      <c r="AV215" s="132" t="s">
        <v>1153</v>
      </c>
      <c r="AW215" s="133"/>
      <c r="AX215" s="134">
        <f>'Stavební rozpočet'!F216</f>
        <v>2</v>
      </c>
      <c r="AY215" s="135"/>
      <c r="AZ215" s="135"/>
      <c r="BA215" s="135"/>
      <c r="BB215" s="135"/>
      <c r="BC215" s="134">
        <f>'Stavební rozpočet'!G216</f>
        <v>0</v>
      </c>
      <c r="BD215" s="135"/>
      <c r="BE215" s="135"/>
      <c r="BF215" s="135"/>
      <c r="BG215" s="135"/>
      <c r="BH215" s="135"/>
      <c r="BI215" s="135"/>
      <c r="BJ215" s="135"/>
      <c r="BK215" s="134">
        <f t="shared" si="9"/>
        <v>0</v>
      </c>
      <c r="BL215" s="135"/>
      <c r="BM215" s="135"/>
      <c r="BN215" s="135"/>
      <c r="BO215" s="135"/>
      <c r="BP215" s="135"/>
      <c r="BQ215" s="135"/>
      <c r="BR215" s="135"/>
      <c r="BS215" s="132" t="s">
        <v>1177</v>
      </c>
      <c r="BT215" s="133"/>
      <c r="BU215" s="133"/>
      <c r="BV215" s="133"/>
      <c r="BW215" s="133"/>
      <c r="BX215" s="133"/>
      <c r="IR215" s="46">
        <f t="shared" si="10"/>
        <v>0</v>
      </c>
      <c r="IS215" s="46">
        <f t="shared" si="11"/>
        <v>0</v>
      </c>
    </row>
    <row r="216" spans="1:253" ht="12.75">
      <c r="A216" s="132" t="s">
        <v>163</v>
      </c>
      <c r="B216" s="133"/>
      <c r="C216" s="132"/>
      <c r="D216" s="133"/>
      <c r="E216" s="133"/>
      <c r="F216" s="132" t="s">
        <v>535</v>
      </c>
      <c r="G216" s="133"/>
      <c r="H216" s="133"/>
      <c r="I216" s="133"/>
      <c r="J216" s="133"/>
      <c r="K216" s="133"/>
      <c r="L216" s="132" t="s">
        <v>936</v>
      </c>
      <c r="M216" s="133"/>
      <c r="N216" s="133"/>
      <c r="O216" s="133"/>
      <c r="P216" s="133"/>
      <c r="Q216" s="133"/>
      <c r="R216" s="133"/>
      <c r="S216" s="133"/>
      <c r="T216" s="133"/>
      <c r="U216" s="133"/>
      <c r="V216" s="133"/>
      <c r="W216" s="133"/>
      <c r="X216" s="133"/>
      <c r="Y216" s="133"/>
      <c r="Z216" s="133"/>
      <c r="AA216" s="133"/>
      <c r="AB216" s="133"/>
      <c r="AC216" s="133"/>
      <c r="AD216" s="133"/>
      <c r="AE216" s="133"/>
      <c r="AF216" s="133"/>
      <c r="AG216" s="133"/>
      <c r="AH216" s="133"/>
      <c r="AI216" s="133"/>
      <c r="AJ216" s="133"/>
      <c r="AK216" s="133"/>
      <c r="AL216" s="133"/>
      <c r="AM216" s="133"/>
      <c r="AN216" s="133"/>
      <c r="AO216" s="133"/>
      <c r="AP216" s="133"/>
      <c r="AQ216" s="133"/>
      <c r="AR216" s="133"/>
      <c r="AS216" s="133"/>
      <c r="AT216" s="133"/>
      <c r="AU216" s="133"/>
      <c r="AV216" s="132" t="s">
        <v>1153</v>
      </c>
      <c r="AW216" s="133"/>
      <c r="AX216" s="134">
        <f>'Stavební rozpočet'!F217</f>
        <v>1</v>
      </c>
      <c r="AY216" s="135"/>
      <c r="AZ216" s="135"/>
      <c r="BA216" s="135"/>
      <c r="BB216" s="135"/>
      <c r="BC216" s="134">
        <f>'Stavební rozpočet'!G217</f>
        <v>0</v>
      </c>
      <c r="BD216" s="135"/>
      <c r="BE216" s="135"/>
      <c r="BF216" s="135"/>
      <c r="BG216" s="135"/>
      <c r="BH216" s="135"/>
      <c r="BI216" s="135"/>
      <c r="BJ216" s="135"/>
      <c r="BK216" s="134">
        <f t="shared" si="9"/>
        <v>0</v>
      </c>
      <c r="BL216" s="135"/>
      <c r="BM216" s="135"/>
      <c r="BN216" s="135"/>
      <c r="BO216" s="135"/>
      <c r="BP216" s="135"/>
      <c r="BQ216" s="135"/>
      <c r="BR216" s="135"/>
      <c r="BS216" s="132" t="s">
        <v>1177</v>
      </c>
      <c r="BT216" s="133"/>
      <c r="BU216" s="133"/>
      <c r="BV216" s="133"/>
      <c r="BW216" s="133"/>
      <c r="BX216" s="133"/>
      <c r="IR216" s="46">
        <f t="shared" si="10"/>
        <v>0</v>
      </c>
      <c r="IS216" s="46">
        <f t="shared" si="11"/>
        <v>0</v>
      </c>
    </row>
    <row r="217" spans="1:253" ht="12.75">
      <c r="A217" s="132" t="s">
        <v>164</v>
      </c>
      <c r="B217" s="133"/>
      <c r="C217" s="132"/>
      <c r="D217" s="133"/>
      <c r="E217" s="133"/>
      <c r="F217" s="132" t="s">
        <v>536</v>
      </c>
      <c r="G217" s="133"/>
      <c r="H217" s="133"/>
      <c r="I217" s="133"/>
      <c r="J217" s="133"/>
      <c r="K217" s="133"/>
      <c r="L217" s="132" t="s">
        <v>937</v>
      </c>
      <c r="M217" s="133"/>
      <c r="N217" s="133"/>
      <c r="O217" s="133"/>
      <c r="P217" s="133"/>
      <c r="Q217" s="133"/>
      <c r="R217" s="133"/>
      <c r="S217" s="133"/>
      <c r="T217" s="133"/>
      <c r="U217" s="133"/>
      <c r="V217" s="133"/>
      <c r="W217" s="133"/>
      <c r="X217" s="133"/>
      <c r="Y217" s="133"/>
      <c r="Z217" s="133"/>
      <c r="AA217" s="133"/>
      <c r="AB217" s="133"/>
      <c r="AC217" s="133"/>
      <c r="AD217" s="133"/>
      <c r="AE217" s="133"/>
      <c r="AF217" s="133"/>
      <c r="AG217" s="133"/>
      <c r="AH217" s="133"/>
      <c r="AI217" s="133"/>
      <c r="AJ217" s="133"/>
      <c r="AK217" s="133"/>
      <c r="AL217" s="133"/>
      <c r="AM217" s="133"/>
      <c r="AN217" s="133"/>
      <c r="AO217" s="133"/>
      <c r="AP217" s="133"/>
      <c r="AQ217" s="133"/>
      <c r="AR217" s="133"/>
      <c r="AS217" s="133"/>
      <c r="AT217" s="133"/>
      <c r="AU217" s="133"/>
      <c r="AV217" s="132" t="s">
        <v>1153</v>
      </c>
      <c r="AW217" s="133"/>
      <c r="AX217" s="134">
        <f>'Stavební rozpočet'!F218</f>
        <v>1</v>
      </c>
      <c r="AY217" s="135"/>
      <c r="AZ217" s="135"/>
      <c r="BA217" s="135"/>
      <c r="BB217" s="135"/>
      <c r="BC217" s="134">
        <f>'Stavební rozpočet'!G218</f>
        <v>0</v>
      </c>
      <c r="BD217" s="135"/>
      <c r="BE217" s="135"/>
      <c r="BF217" s="135"/>
      <c r="BG217" s="135"/>
      <c r="BH217" s="135"/>
      <c r="BI217" s="135"/>
      <c r="BJ217" s="135"/>
      <c r="BK217" s="134">
        <f t="shared" si="9"/>
        <v>0</v>
      </c>
      <c r="BL217" s="135"/>
      <c r="BM217" s="135"/>
      <c r="BN217" s="135"/>
      <c r="BO217" s="135"/>
      <c r="BP217" s="135"/>
      <c r="BQ217" s="135"/>
      <c r="BR217" s="135"/>
      <c r="BS217" s="132" t="s">
        <v>1177</v>
      </c>
      <c r="BT217" s="133"/>
      <c r="BU217" s="133"/>
      <c r="BV217" s="133"/>
      <c r="BW217" s="133"/>
      <c r="BX217" s="133"/>
      <c r="IR217" s="46">
        <f t="shared" si="10"/>
        <v>0</v>
      </c>
      <c r="IS217" s="46">
        <f t="shared" si="11"/>
        <v>0</v>
      </c>
    </row>
    <row r="218" spans="1:253" ht="12.75">
      <c r="A218" s="132" t="s">
        <v>165</v>
      </c>
      <c r="B218" s="133"/>
      <c r="C218" s="132"/>
      <c r="D218" s="133"/>
      <c r="E218" s="133"/>
      <c r="F218" s="132" t="s">
        <v>537</v>
      </c>
      <c r="G218" s="133"/>
      <c r="H218" s="133"/>
      <c r="I218" s="133"/>
      <c r="J218" s="133"/>
      <c r="K218" s="133"/>
      <c r="L218" s="132" t="s">
        <v>938</v>
      </c>
      <c r="M218" s="133"/>
      <c r="N218" s="133"/>
      <c r="O218" s="133"/>
      <c r="P218" s="133"/>
      <c r="Q218" s="133"/>
      <c r="R218" s="133"/>
      <c r="S218" s="133"/>
      <c r="T218" s="133"/>
      <c r="U218" s="133"/>
      <c r="V218" s="133"/>
      <c r="W218" s="133"/>
      <c r="X218" s="133"/>
      <c r="Y218" s="133"/>
      <c r="Z218" s="133"/>
      <c r="AA218" s="133"/>
      <c r="AB218" s="133"/>
      <c r="AC218" s="133"/>
      <c r="AD218" s="133"/>
      <c r="AE218" s="133"/>
      <c r="AF218" s="133"/>
      <c r="AG218" s="133"/>
      <c r="AH218" s="133"/>
      <c r="AI218" s="133"/>
      <c r="AJ218" s="133"/>
      <c r="AK218" s="133"/>
      <c r="AL218" s="133"/>
      <c r="AM218" s="133"/>
      <c r="AN218" s="133"/>
      <c r="AO218" s="133"/>
      <c r="AP218" s="133"/>
      <c r="AQ218" s="133"/>
      <c r="AR218" s="133"/>
      <c r="AS218" s="133"/>
      <c r="AT218" s="133"/>
      <c r="AU218" s="133"/>
      <c r="AV218" s="132" t="s">
        <v>1153</v>
      </c>
      <c r="AW218" s="133"/>
      <c r="AX218" s="134">
        <f>'Stavební rozpočet'!F219</f>
        <v>1</v>
      </c>
      <c r="AY218" s="135"/>
      <c r="AZ218" s="135"/>
      <c r="BA218" s="135"/>
      <c r="BB218" s="135"/>
      <c r="BC218" s="134">
        <f>'Stavební rozpočet'!G219</f>
        <v>0</v>
      </c>
      <c r="BD218" s="135"/>
      <c r="BE218" s="135"/>
      <c r="BF218" s="135"/>
      <c r="BG218" s="135"/>
      <c r="BH218" s="135"/>
      <c r="BI218" s="135"/>
      <c r="BJ218" s="135"/>
      <c r="BK218" s="134">
        <f t="shared" si="9"/>
        <v>0</v>
      </c>
      <c r="BL218" s="135"/>
      <c r="BM218" s="135"/>
      <c r="BN218" s="135"/>
      <c r="BO218" s="135"/>
      <c r="BP218" s="135"/>
      <c r="BQ218" s="135"/>
      <c r="BR218" s="135"/>
      <c r="BS218" s="132" t="s">
        <v>1177</v>
      </c>
      <c r="BT218" s="133"/>
      <c r="BU218" s="133"/>
      <c r="BV218" s="133"/>
      <c r="BW218" s="133"/>
      <c r="BX218" s="133"/>
      <c r="IR218" s="46">
        <f t="shared" si="10"/>
        <v>0</v>
      </c>
      <c r="IS218" s="46">
        <f t="shared" si="11"/>
        <v>0</v>
      </c>
    </row>
    <row r="219" spans="1:253" ht="12.75">
      <c r="A219" s="132" t="s">
        <v>166</v>
      </c>
      <c r="B219" s="133"/>
      <c r="C219" s="132"/>
      <c r="D219" s="133"/>
      <c r="E219" s="133"/>
      <c r="F219" s="132" t="s">
        <v>538</v>
      </c>
      <c r="G219" s="133"/>
      <c r="H219" s="133"/>
      <c r="I219" s="133"/>
      <c r="J219" s="133"/>
      <c r="K219" s="133"/>
      <c r="L219" s="132" t="s">
        <v>939</v>
      </c>
      <c r="M219" s="133"/>
      <c r="N219" s="133"/>
      <c r="O219" s="133"/>
      <c r="P219" s="133"/>
      <c r="Q219" s="133"/>
      <c r="R219" s="133"/>
      <c r="S219" s="133"/>
      <c r="T219" s="133"/>
      <c r="U219" s="133"/>
      <c r="V219" s="133"/>
      <c r="W219" s="133"/>
      <c r="X219" s="133"/>
      <c r="Y219" s="133"/>
      <c r="Z219" s="133"/>
      <c r="AA219" s="133"/>
      <c r="AB219" s="133"/>
      <c r="AC219" s="133"/>
      <c r="AD219" s="133"/>
      <c r="AE219" s="133"/>
      <c r="AF219" s="133"/>
      <c r="AG219" s="133"/>
      <c r="AH219" s="133"/>
      <c r="AI219" s="133"/>
      <c r="AJ219" s="133"/>
      <c r="AK219" s="133"/>
      <c r="AL219" s="133"/>
      <c r="AM219" s="133"/>
      <c r="AN219" s="133"/>
      <c r="AO219" s="133"/>
      <c r="AP219" s="133"/>
      <c r="AQ219" s="133"/>
      <c r="AR219" s="133"/>
      <c r="AS219" s="133"/>
      <c r="AT219" s="133"/>
      <c r="AU219" s="133"/>
      <c r="AV219" s="132" t="s">
        <v>1154</v>
      </c>
      <c r="AW219" s="133"/>
      <c r="AX219" s="134">
        <f>'Stavební rozpočet'!F220</f>
        <v>29.25</v>
      </c>
      <c r="AY219" s="135"/>
      <c r="AZ219" s="135"/>
      <c r="BA219" s="135"/>
      <c r="BB219" s="135"/>
      <c r="BC219" s="134">
        <f>'Stavební rozpočet'!G220</f>
        <v>0</v>
      </c>
      <c r="BD219" s="135"/>
      <c r="BE219" s="135"/>
      <c r="BF219" s="135"/>
      <c r="BG219" s="135"/>
      <c r="BH219" s="135"/>
      <c r="BI219" s="135"/>
      <c r="BJ219" s="135"/>
      <c r="BK219" s="134">
        <f t="shared" si="9"/>
        <v>0</v>
      </c>
      <c r="BL219" s="135"/>
      <c r="BM219" s="135"/>
      <c r="BN219" s="135"/>
      <c r="BO219" s="135"/>
      <c r="BP219" s="135"/>
      <c r="BQ219" s="135"/>
      <c r="BR219" s="135"/>
      <c r="BS219" s="132" t="s">
        <v>1177</v>
      </c>
      <c r="BT219" s="133"/>
      <c r="BU219" s="133"/>
      <c r="BV219" s="133"/>
      <c r="BW219" s="133"/>
      <c r="BX219" s="133"/>
      <c r="IR219" s="46">
        <f t="shared" si="10"/>
        <v>0</v>
      </c>
      <c r="IS219" s="46">
        <f t="shared" si="11"/>
        <v>0</v>
      </c>
    </row>
    <row r="220" spans="1:253" ht="12.75">
      <c r="A220" s="132" t="s">
        <v>167</v>
      </c>
      <c r="B220" s="133"/>
      <c r="C220" s="132"/>
      <c r="D220" s="133"/>
      <c r="E220" s="133"/>
      <c r="F220" s="132" t="s">
        <v>539</v>
      </c>
      <c r="G220" s="133"/>
      <c r="H220" s="133"/>
      <c r="I220" s="133"/>
      <c r="J220" s="133"/>
      <c r="K220" s="133"/>
      <c r="L220" s="132" t="s">
        <v>895</v>
      </c>
      <c r="M220" s="133"/>
      <c r="N220" s="133"/>
      <c r="O220" s="133"/>
      <c r="P220" s="133"/>
      <c r="Q220" s="133"/>
      <c r="R220" s="133"/>
      <c r="S220" s="133"/>
      <c r="T220" s="133"/>
      <c r="U220" s="133"/>
      <c r="V220" s="133"/>
      <c r="W220" s="133"/>
      <c r="X220" s="133"/>
      <c r="Y220" s="133"/>
      <c r="Z220" s="133"/>
      <c r="AA220" s="133"/>
      <c r="AB220" s="133"/>
      <c r="AC220" s="133"/>
      <c r="AD220" s="133"/>
      <c r="AE220" s="133"/>
      <c r="AF220" s="133"/>
      <c r="AG220" s="133"/>
      <c r="AH220" s="133"/>
      <c r="AI220" s="133"/>
      <c r="AJ220" s="133"/>
      <c r="AK220" s="133"/>
      <c r="AL220" s="133"/>
      <c r="AM220" s="133"/>
      <c r="AN220" s="133"/>
      <c r="AO220" s="133"/>
      <c r="AP220" s="133"/>
      <c r="AQ220" s="133"/>
      <c r="AR220" s="133"/>
      <c r="AS220" s="133"/>
      <c r="AT220" s="133"/>
      <c r="AU220" s="133"/>
      <c r="AV220" s="132" t="s">
        <v>1155</v>
      </c>
      <c r="AW220" s="133"/>
      <c r="AX220" s="134">
        <f>'Stavební rozpočet'!F221</f>
        <v>15</v>
      </c>
      <c r="AY220" s="135"/>
      <c r="AZ220" s="135"/>
      <c r="BA220" s="135"/>
      <c r="BB220" s="135"/>
      <c r="BC220" s="134">
        <f>'Stavební rozpočet'!G221</f>
        <v>0</v>
      </c>
      <c r="BD220" s="135"/>
      <c r="BE220" s="135"/>
      <c r="BF220" s="135"/>
      <c r="BG220" s="135"/>
      <c r="BH220" s="135"/>
      <c r="BI220" s="135"/>
      <c r="BJ220" s="135"/>
      <c r="BK220" s="134">
        <f t="shared" si="9"/>
        <v>0</v>
      </c>
      <c r="BL220" s="135"/>
      <c r="BM220" s="135"/>
      <c r="BN220" s="135"/>
      <c r="BO220" s="135"/>
      <c r="BP220" s="135"/>
      <c r="BQ220" s="135"/>
      <c r="BR220" s="135"/>
      <c r="BS220" s="132" t="s">
        <v>1177</v>
      </c>
      <c r="BT220" s="133"/>
      <c r="BU220" s="133"/>
      <c r="BV220" s="133"/>
      <c r="BW220" s="133"/>
      <c r="BX220" s="133"/>
      <c r="IR220" s="46">
        <f t="shared" si="10"/>
        <v>0</v>
      </c>
      <c r="IS220" s="46">
        <f t="shared" si="11"/>
        <v>0</v>
      </c>
    </row>
    <row r="221" spans="1:253" ht="12.75">
      <c r="A221" s="132" t="s">
        <v>168</v>
      </c>
      <c r="B221" s="133"/>
      <c r="C221" s="132"/>
      <c r="D221" s="133"/>
      <c r="E221" s="133"/>
      <c r="F221" s="132" t="s">
        <v>540</v>
      </c>
      <c r="G221" s="133"/>
      <c r="H221" s="133"/>
      <c r="I221" s="133"/>
      <c r="J221" s="133"/>
      <c r="K221" s="133"/>
      <c r="L221" s="132" t="s">
        <v>940</v>
      </c>
      <c r="M221" s="133"/>
      <c r="N221" s="133"/>
      <c r="O221" s="133"/>
      <c r="P221" s="133"/>
      <c r="Q221" s="133"/>
      <c r="R221" s="133"/>
      <c r="S221" s="133"/>
      <c r="T221" s="133"/>
      <c r="U221" s="133"/>
      <c r="V221" s="133"/>
      <c r="W221" s="133"/>
      <c r="X221" s="133"/>
      <c r="Y221" s="133"/>
      <c r="Z221" s="133"/>
      <c r="AA221" s="133"/>
      <c r="AB221" s="133"/>
      <c r="AC221" s="133"/>
      <c r="AD221" s="133"/>
      <c r="AE221" s="133"/>
      <c r="AF221" s="133"/>
      <c r="AG221" s="133"/>
      <c r="AH221" s="133"/>
      <c r="AI221" s="133"/>
      <c r="AJ221" s="133"/>
      <c r="AK221" s="133"/>
      <c r="AL221" s="133"/>
      <c r="AM221" s="133"/>
      <c r="AN221" s="133"/>
      <c r="AO221" s="133"/>
      <c r="AP221" s="133"/>
      <c r="AQ221" s="133"/>
      <c r="AR221" s="133"/>
      <c r="AS221" s="133"/>
      <c r="AT221" s="133"/>
      <c r="AU221" s="133"/>
      <c r="AV221" s="132" t="s">
        <v>1153</v>
      </c>
      <c r="AW221" s="133"/>
      <c r="AX221" s="134">
        <f>'Stavební rozpočet'!F222</f>
        <v>1</v>
      </c>
      <c r="AY221" s="135"/>
      <c r="AZ221" s="135"/>
      <c r="BA221" s="135"/>
      <c r="BB221" s="135"/>
      <c r="BC221" s="134">
        <f>'Stavební rozpočet'!G222</f>
        <v>0</v>
      </c>
      <c r="BD221" s="135"/>
      <c r="BE221" s="135"/>
      <c r="BF221" s="135"/>
      <c r="BG221" s="135"/>
      <c r="BH221" s="135"/>
      <c r="BI221" s="135"/>
      <c r="BJ221" s="135"/>
      <c r="BK221" s="134">
        <f t="shared" si="9"/>
        <v>0</v>
      </c>
      <c r="BL221" s="135"/>
      <c r="BM221" s="135"/>
      <c r="BN221" s="135"/>
      <c r="BO221" s="135"/>
      <c r="BP221" s="135"/>
      <c r="BQ221" s="135"/>
      <c r="BR221" s="135"/>
      <c r="BS221" s="132" t="s">
        <v>1177</v>
      </c>
      <c r="BT221" s="133"/>
      <c r="BU221" s="133"/>
      <c r="BV221" s="133"/>
      <c r="BW221" s="133"/>
      <c r="BX221" s="133"/>
      <c r="IR221" s="46">
        <f t="shared" si="10"/>
        <v>0</v>
      </c>
      <c r="IS221" s="46">
        <f t="shared" si="11"/>
        <v>0</v>
      </c>
    </row>
    <row r="222" spans="1:253" ht="12.75">
      <c r="A222" s="132" t="s">
        <v>169</v>
      </c>
      <c r="B222" s="133"/>
      <c r="C222" s="132"/>
      <c r="D222" s="133"/>
      <c r="E222" s="133"/>
      <c r="F222" s="132" t="s">
        <v>541</v>
      </c>
      <c r="G222" s="133"/>
      <c r="H222" s="133"/>
      <c r="I222" s="133"/>
      <c r="J222" s="133"/>
      <c r="K222" s="133"/>
      <c r="L222" s="132" t="s">
        <v>941</v>
      </c>
      <c r="M222" s="133"/>
      <c r="N222" s="133"/>
      <c r="O222" s="133"/>
      <c r="P222" s="133"/>
      <c r="Q222" s="133"/>
      <c r="R222" s="133"/>
      <c r="S222" s="133"/>
      <c r="T222" s="133"/>
      <c r="U222" s="133"/>
      <c r="V222" s="133"/>
      <c r="W222" s="133"/>
      <c r="X222" s="133"/>
      <c r="Y222" s="133"/>
      <c r="Z222" s="133"/>
      <c r="AA222" s="133"/>
      <c r="AB222" s="133"/>
      <c r="AC222" s="133"/>
      <c r="AD222" s="133"/>
      <c r="AE222" s="133"/>
      <c r="AF222" s="133"/>
      <c r="AG222" s="133"/>
      <c r="AH222" s="133"/>
      <c r="AI222" s="133"/>
      <c r="AJ222" s="133"/>
      <c r="AK222" s="133"/>
      <c r="AL222" s="133"/>
      <c r="AM222" s="133"/>
      <c r="AN222" s="133"/>
      <c r="AO222" s="133"/>
      <c r="AP222" s="133"/>
      <c r="AQ222" s="133"/>
      <c r="AR222" s="133"/>
      <c r="AS222" s="133"/>
      <c r="AT222" s="133"/>
      <c r="AU222" s="133"/>
      <c r="AV222" s="132" t="s">
        <v>1153</v>
      </c>
      <c r="AW222" s="133"/>
      <c r="AX222" s="134">
        <f>'Stavební rozpočet'!F223</f>
        <v>2</v>
      </c>
      <c r="AY222" s="135"/>
      <c r="AZ222" s="135"/>
      <c r="BA222" s="135"/>
      <c r="BB222" s="135"/>
      <c r="BC222" s="134">
        <f>'Stavební rozpočet'!G223</f>
        <v>0</v>
      </c>
      <c r="BD222" s="135"/>
      <c r="BE222" s="135"/>
      <c r="BF222" s="135"/>
      <c r="BG222" s="135"/>
      <c r="BH222" s="135"/>
      <c r="BI222" s="135"/>
      <c r="BJ222" s="135"/>
      <c r="BK222" s="134">
        <f t="shared" si="9"/>
        <v>0</v>
      </c>
      <c r="BL222" s="135"/>
      <c r="BM222" s="135"/>
      <c r="BN222" s="135"/>
      <c r="BO222" s="135"/>
      <c r="BP222" s="135"/>
      <c r="BQ222" s="135"/>
      <c r="BR222" s="135"/>
      <c r="BS222" s="132" t="s">
        <v>1177</v>
      </c>
      <c r="BT222" s="133"/>
      <c r="BU222" s="133"/>
      <c r="BV222" s="133"/>
      <c r="BW222" s="133"/>
      <c r="BX222" s="133"/>
      <c r="IR222" s="46">
        <f t="shared" si="10"/>
        <v>0</v>
      </c>
      <c r="IS222" s="46">
        <f t="shared" si="11"/>
        <v>0</v>
      </c>
    </row>
    <row r="223" spans="1:253" ht="12.75">
      <c r="A223" s="132" t="s">
        <v>170</v>
      </c>
      <c r="B223" s="133"/>
      <c r="C223" s="132"/>
      <c r="D223" s="133"/>
      <c r="E223" s="133"/>
      <c r="F223" s="132" t="s">
        <v>542</v>
      </c>
      <c r="G223" s="133"/>
      <c r="H223" s="133"/>
      <c r="I223" s="133"/>
      <c r="J223" s="133"/>
      <c r="K223" s="133"/>
      <c r="L223" s="132" t="s">
        <v>942</v>
      </c>
      <c r="M223" s="133"/>
      <c r="N223" s="133"/>
      <c r="O223" s="133"/>
      <c r="P223" s="133"/>
      <c r="Q223" s="133"/>
      <c r="R223" s="133"/>
      <c r="S223" s="133"/>
      <c r="T223" s="133"/>
      <c r="U223" s="133"/>
      <c r="V223" s="133"/>
      <c r="W223" s="133"/>
      <c r="X223" s="133"/>
      <c r="Y223" s="133"/>
      <c r="Z223" s="133"/>
      <c r="AA223" s="133"/>
      <c r="AB223" s="133"/>
      <c r="AC223" s="133"/>
      <c r="AD223" s="133"/>
      <c r="AE223" s="133"/>
      <c r="AF223" s="133"/>
      <c r="AG223" s="133"/>
      <c r="AH223" s="133"/>
      <c r="AI223" s="133"/>
      <c r="AJ223" s="133"/>
      <c r="AK223" s="133"/>
      <c r="AL223" s="133"/>
      <c r="AM223" s="133"/>
      <c r="AN223" s="133"/>
      <c r="AO223" s="133"/>
      <c r="AP223" s="133"/>
      <c r="AQ223" s="133"/>
      <c r="AR223" s="133"/>
      <c r="AS223" s="133"/>
      <c r="AT223" s="133"/>
      <c r="AU223" s="133"/>
      <c r="AV223" s="132" t="s">
        <v>1153</v>
      </c>
      <c r="AW223" s="133"/>
      <c r="AX223" s="134">
        <f>'Stavební rozpočet'!F224</f>
        <v>1</v>
      </c>
      <c r="AY223" s="135"/>
      <c r="AZ223" s="135"/>
      <c r="BA223" s="135"/>
      <c r="BB223" s="135"/>
      <c r="BC223" s="134">
        <f>'Stavební rozpočet'!G224</f>
        <v>0</v>
      </c>
      <c r="BD223" s="135"/>
      <c r="BE223" s="135"/>
      <c r="BF223" s="135"/>
      <c r="BG223" s="135"/>
      <c r="BH223" s="135"/>
      <c r="BI223" s="135"/>
      <c r="BJ223" s="135"/>
      <c r="BK223" s="134">
        <f t="shared" si="9"/>
        <v>0</v>
      </c>
      <c r="BL223" s="135"/>
      <c r="BM223" s="135"/>
      <c r="BN223" s="135"/>
      <c r="BO223" s="135"/>
      <c r="BP223" s="135"/>
      <c r="BQ223" s="135"/>
      <c r="BR223" s="135"/>
      <c r="BS223" s="132" t="s">
        <v>1177</v>
      </c>
      <c r="BT223" s="133"/>
      <c r="BU223" s="133"/>
      <c r="BV223" s="133"/>
      <c r="BW223" s="133"/>
      <c r="BX223" s="133"/>
      <c r="IR223" s="46">
        <f t="shared" si="10"/>
        <v>0</v>
      </c>
      <c r="IS223" s="46">
        <f t="shared" si="11"/>
        <v>0</v>
      </c>
    </row>
    <row r="224" spans="1:253" ht="12.75">
      <c r="A224" s="132" t="s">
        <v>171</v>
      </c>
      <c r="B224" s="133"/>
      <c r="C224" s="132"/>
      <c r="D224" s="133"/>
      <c r="E224" s="133"/>
      <c r="F224" s="132" t="s">
        <v>543</v>
      </c>
      <c r="G224" s="133"/>
      <c r="H224" s="133"/>
      <c r="I224" s="133"/>
      <c r="J224" s="133"/>
      <c r="K224" s="133"/>
      <c r="L224" s="132" t="s">
        <v>943</v>
      </c>
      <c r="M224" s="133"/>
      <c r="N224" s="133"/>
      <c r="O224" s="133"/>
      <c r="P224" s="133"/>
      <c r="Q224" s="133"/>
      <c r="R224" s="133"/>
      <c r="S224" s="133"/>
      <c r="T224" s="133"/>
      <c r="U224" s="133"/>
      <c r="V224" s="133"/>
      <c r="W224" s="133"/>
      <c r="X224" s="133"/>
      <c r="Y224" s="133"/>
      <c r="Z224" s="133"/>
      <c r="AA224" s="133"/>
      <c r="AB224" s="133"/>
      <c r="AC224" s="133"/>
      <c r="AD224" s="133"/>
      <c r="AE224" s="133"/>
      <c r="AF224" s="133"/>
      <c r="AG224" s="133"/>
      <c r="AH224" s="133"/>
      <c r="AI224" s="133"/>
      <c r="AJ224" s="133"/>
      <c r="AK224" s="133"/>
      <c r="AL224" s="133"/>
      <c r="AM224" s="133"/>
      <c r="AN224" s="133"/>
      <c r="AO224" s="133"/>
      <c r="AP224" s="133"/>
      <c r="AQ224" s="133"/>
      <c r="AR224" s="133"/>
      <c r="AS224" s="133"/>
      <c r="AT224" s="133"/>
      <c r="AU224" s="133"/>
      <c r="AV224" s="132" t="s">
        <v>1154</v>
      </c>
      <c r="AW224" s="133"/>
      <c r="AX224" s="134">
        <f>'Stavební rozpočet'!F225</f>
        <v>75.6</v>
      </c>
      <c r="AY224" s="135"/>
      <c r="AZ224" s="135"/>
      <c r="BA224" s="135"/>
      <c r="BB224" s="135"/>
      <c r="BC224" s="134">
        <f>'Stavební rozpočet'!G225</f>
        <v>0</v>
      </c>
      <c r="BD224" s="135"/>
      <c r="BE224" s="135"/>
      <c r="BF224" s="135"/>
      <c r="BG224" s="135"/>
      <c r="BH224" s="135"/>
      <c r="BI224" s="135"/>
      <c r="BJ224" s="135"/>
      <c r="BK224" s="134">
        <f t="shared" si="9"/>
        <v>0</v>
      </c>
      <c r="BL224" s="135"/>
      <c r="BM224" s="135"/>
      <c r="BN224" s="135"/>
      <c r="BO224" s="135"/>
      <c r="BP224" s="135"/>
      <c r="BQ224" s="135"/>
      <c r="BR224" s="135"/>
      <c r="BS224" s="132" t="s">
        <v>1177</v>
      </c>
      <c r="BT224" s="133"/>
      <c r="BU224" s="133"/>
      <c r="BV224" s="133"/>
      <c r="BW224" s="133"/>
      <c r="BX224" s="133"/>
      <c r="IR224" s="46">
        <f t="shared" si="10"/>
        <v>0</v>
      </c>
      <c r="IS224" s="46">
        <f t="shared" si="11"/>
        <v>0</v>
      </c>
    </row>
    <row r="225" spans="1:253" ht="12.75">
      <c r="A225" s="132" t="s">
        <v>172</v>
      </c>
      <c r="B225" s="133"/>
      <c r="C225" s="132"/>
      <c r="D225" s="133"/>
      <c r="E225" s="133"/>
      <c r="F225" s="132" t="s">
        <v>544</v>
      </c>
      <c r="G225" s="133"/>
      <c r="H225" s="133"/>
      <c r="I225" s="133"/>
      <c r="J225" s="133"/>
      <c r="K225" s="133"/>
      <c r="L225" s="132" t="s">
        <v>944</v>
      </c>
      <c r="M225" s="133"/>
      <c r="N225" s="133"/>
      <c r="O225" s="133"/>
      <c r="P225" s="133"/>
      <c r="Q225" s="133"/>
      <c r="R225" s="133"/>
      <c r="S225" s="133"/>
      <c r="T225" s="133"/>
      <c r="U225" s="133"/>
      <c r="V225" s="133"/>
      <c r="W225" s="133"/>
      <c r="X225" s="133"/>
      <c r="Y225" s="133"/>
      <c r="Z225" s="133"/>
      <c r="AA225" s="133"/>
      <c r="AB225" s="133"/>
      <c r="AC225" s="133"/>
      <c r="AD225" s="133"/>
      <c r="AE225" s="133"/>
      <c r="AF225" s="133"/>
      <c r="AG225" s="133"/>
      <c r="AH225" s="133"/>
      <c r="AI225" s="133"/>
      <c r="AJ225" s="133"/>
      <c r="AK225" s="133"/>
      <c r="AL225" s="133"/>
      <c r="AM225" s="133"/>
      <c r="AN225" s="133"/>
      <c r="AO225" s="133"/>
      <c r="AP225" s="133"/>
      <c r="AQ225" s="133"/>
      <c r="AR225" s="133"/>
      <c r="AS225" s="133"/>
      <c r="AT225" s="133"/>
      <c r="AU225" s="133"/>
      <c r="AV225" s="132" t="s">
        <v>1154</v>
      </c>
      <c r="AW225" s="133"/>
      <c r="AX225" s="134">
        <f>'Stavební rozpočet'!F226</f>
        <v>75.6</v>
      </c>
      <c r="AY225" s="135"/>
      <c r="AZ225" s="135"/>
      <c r="BA225" s="135"/>
      <c r="BB225" s="135"/>
      <c r="BC225" s="134">
        <f>'Stavební rozpočet'!G226</f>
        <v>0</v>
      </c>
      <c r="BD225" s="135"/>
      <c r="BE225" s="135"/>
      <c r="BF225" s="135"/>
      <c r="BG225" s="135"/>
      <c r="BH225" s="135"/>
      <c r="BI225" s="135"/>
      <c r="BJ225" s="135"/>
      <c r="BK225" s="134">
        <f t="shared" si="9"/>
        <v>0</v>
      </c>
      <c r="BL225" s="135"/>
      <c r="BM225" s="135"/>
      <c r="BN225" s="135"/>
      <c r="BO225" s="135"/>
      <c r="BP225" s="135"/>
      <c r="BQ225" s="135"/>
      <c r="BR225" s="135"/>
      <c r="BS225" s="132" t="s">
        <v>1177</v>
      </c>
      <c r="BT225" s="133"/>
      <c r="BU225" s="133"/>
      <c r="BV225" s="133"/>
      <c r="BW225" s="133"/>
      <c r="BX225" s="133"/>
      <c r="IR225" s="46">
        <f t="shared" si="10"/>
        <v>0</v>
      </c>
      <c r="IS225" s="46">
        <f t="shared" si="11"/>
        <v>0</v>
      </c>
    </row>
    <row r="226" spans="1:253" ht="12.75">
      <c r="A226" s="132" t="s">
        <v>173</v>
      </c>
      <c r="B226" s="133"/>
      <c r="C226" s="132"/>
      <c r="D226" s="133"/>
      <c r="E226" s="133"/>
      <c r="F226" s="132" t="s">
        <v>545</v>
      </c>
      <c r="G226" s="133"/>
      <c r="H226" s="133"/>
      <c r="I226" s="133"/>
      <c r="J226" s="133"/>
      <c r="K226" s="133"/>
      <c r="L226" s="132" t="s">
        <v>945</v>
      </c>
      <c r="M226" s="133"/>
      <c r="N226" s="133"/>
      <c r="O226" s="133"/>
      <c r="P226" s="133"/>
      <c r="Q226" s="133"/>
      <c r="R226" s="133"/>
      <c r="S226" s="133"/>
      <c r="T226" s="133"/>
      <c r="U226" s="133"/>
      <c r="V226" s="133"/>
      <c r="W226" s="133"/>
      <c r="X226" s="133"/>
      <c r="Y226" s="133"/>
      <c r="Z226" s="133"/>
      <c r="AA226" s="133"/>
      <c r="AB226" s="133"/>
      <c r="AC226" s="133"/>
      <c r="AD226" s="133"/>
      <c r="AE226" s="133"/>
      <c r="AF226" s="133"/>
      <c r="AG226" s="133"/>
      <c r="AH226" s="133"/>
      <c r="AI226" s="133"/>
      <c r="AJ226" s="133"/>
      <c r="AK226" s="133"/>
      <c r="AL226" s="133"/>
      <c r="AM226" s="133"/>
      <c r="AN226" s="133"/>
      <c r="AO226" s="133"/>
      <c r="AP226" s="133"/>
      <c r="AQ226" s="133"/>
      <c r="AR226" s="133"/>
      <c r="AS226" s="133"/>
      <c r="AT226" s="133"/>
      <c r="AU226" s="133"/>
      <c r="AV226" s="132" t="s">
        <v>1154</v>
      </c>
      <c r="AW226" s="133"/>
      <c r="AX226" s="134">
        <f>'Stavební rozpočet'!F227</f>
        <v>75.6</v>
      </c>
      <c r="AY226" s="135"/>
      <c r="AZ226" s="135"/>
      <c r="BA226" s="135"/>
      <c r="BB226" s="135"/>
      <c r="BC226" s="134">
        <f>'Stavební rozpočet'!G227</f>
        <v>0</v>
      </c>
      <c r="BD226" s="135"/>
      <c r="BE226" s="135"/>
      <c r="BF226" s="135"/>
      <c r="BG226" s="135"/>
      <c r="BH226" s="135"/>
      <c r="BI226" s="135"/>
      <c r="BJ226" s="135"/>
      <c r="BK226" s="134">
        <f t="shared" si="9"/>
        <v>0</v>
      </c>
      <c r="BL226" s="135"/>
      <c r="BM226" s="135"/>
      <c r="BN226" s="135"/>
      <c r="BO226" s="135"/>
      <c r="BP226" s="135"/>
      <c r="BQ226" s="135"/>
      <c r="BR226" s="135"/>
      <c r="BS226" s="132" t="s">
        <v>1177</v>
      </c>
      <c r="BT226" s="133"/>
      <c r="BU226" s="133"/>
      <c r="BV226" s="133"/>
      <c r="BW226" s="133"/>
      <c r="BX226" s="133"/>
      <c r="IR226" s="46">
        <f t="shared" si="10"/>
        <v>0</v>
      </c>
      <c r="IS226" s="46">
        <f t="shared" si="11"/>
        <v>0</v>
      </c>
    </row>
    <row r="227" spans="1:253" ht="12.75">
      <c r="A227" s="132" t="s">
        <v>174</v>
      </c>
      <c r="B227" s="133"/>
      <c r="C227" s="132"/>
      <c r="D227" s="133"/>
      <c r="E227" s="133"/>
      <c r="F227" s="132" t="s">
        <v>546</v>
      </c>
      <c r="G227" s="133"/>
      <c r="H227" s="133"/>
      <c r="I227" s="133"/>
      <c r="J227" s="133"/>
      <c r="K227" s="133"/>
      <c r="L227" s="132" t="s">
        <v>899</v>
      </c>
      <c r="M227" s="133"/>
      <c r="N227" s="133"/>
      <c r="O227" s="133"/>
      <c r="P227" s="133"/>
      <c r="Q227" s="133"/>
      <c r="R227" s="133"/>
      <c r="S227" s="133"/>
      <c r="T227" s="133"/>
      <c r="U227" s="133"/>
      <c r="V227" s="133"/>
      <c r="W227" s="133"/>
      <c r="X227" s="133"/>
      <c r="Y227" s="133"/>
      <c r="Z227" s="133"/>
      <c r="AA227" s="133"/>
      <c r="AB227" s="133"/>
      <c r="AC227" s="133"/>
      <c r="AD227" s="133"/>
      <c r="AE227" s="133"/>
      <c r="AF227" s="133"/>
      <c r="AG227" s="133"/>
      <c r="AH227" s="133"/>
      <c r="AI227" s="133"/>
      <c r="AJ227" s="133"/>
      <c r="AK227" s="133"/>
      <c r="AL227" s="133"/>
      <c r="AM227" s="133"/>
      <c r="AN227" s="133"/>
      <c r="AO227" s="133"/>
      <c r="AP227" s="133"/>
      <c r="AQ227" s="133"/>
      <c r="AR227" s="133"/>
      <c r="AS227" s="133"/>
      <c r="AT227" s="133"/>
      <c r="AU227" s="133"/>
      <c r="AV227" s="132" t="s">
        <v>1153</v>
      </c>
      <c r="AW227" s="133"/>
      <c r="AX227" s="134">
        <f>'Stavební rozpočet'!F228</f>
        <v>1</v>
      </c>
      <c r="AY227" s="135"/>
      <c r="AZ227" s="135"/>
      <c r="BA227" s="135"/>
      <c r="BB227" s="135"/>
      <c r="BC227" s="134">
        <f>'Stavební rozpočet'!G228</f>
        <v>0</v>
      </c>
      <c r="BD227" s="135"/>
      <c r="BE227" s="135"/>
      <c r="BF227" s="135"/>
      <c r="BG227" s="135"/>
      <c r="BH227" s="135"/>
      <c r="BI227" s="135"/>
      <c r="BJ227" s="135"/>
      <c r="BK227" s="134">
        <f t="shared" si="9"/>
        <v>0</v>
      </c>
      <c r="BL227" s="135"/>
      <c r="BM227" s="135"/>
      <c r="BN227" s="135"/>
      <c r="BO227" s="135"/>
      <c r="BP227" s="135"/>
      <c r="BQ227" s="135"/>
      <c r="BR227" s="135"/>
      <c r="BS227" s="132" t="s">
        <v>1177</v>
      </c>
      <c r="BT227" s="133"/>
      <c r="BU227" s="133"/>
      <c r="BV227" s="133"/>
      <c r="BW227" s="133"/>
      <c r="BX227" s="133"/>
      <c r="IR227" s="46">
        <f t="shared" si="10"/>
        <v>0</v>
      </c>
      <c r="IS227" s="46">
        <f t="shared" si="11"/>
        <v>0</v>
      </c>
    </row>
    <row r="228" spans="1:253" ht="12.75">
      <c r="A228" s="132" t="s">
        <v>175</v>
      </c>
      <c r="B228" s="133"/>
      <c r="C228" s="132"/>
      <c r="D228" s="133"/>
      <c r="E228" s="133"/>
      <c r="F228" s="132" t="s">
        <v>547</v>
      </c>
      <c r="G228" s="133"/>
      <c r="H228" s="133"/>
      <c r="I228" s="133"/>
      <c r="J228" s="133"/>
      <c r="K228" s="133"/>
      <c r="L228" s="132" t="s">
        <v>902</v>
      </c>
      <c r="M228" s="133"/>
      <c r="N228" s="133"/>
      <c r="O228" s="133"/>
      <c r="P228" s="133"/>
      <c r="Q228" s="133"/>
      <c r="R228" s="133"/>
      <c r="S228" s="133"/>
      <c r="T228" s="133"/>
      <c r="U228" s="133"/>
      <c r="V228" s="133"/>
      <c r="W228" s="133"/>
      <c r="X228" s="133"/>
      <c r="Y228" s="133"/>
      <c r="Z228" s="133"/>
      <c r="AA228" s="133"/>
      <c r="AB228" s="133"/>
      <c r="AC228" s="133"/>
      <c r="AD228" s="133"/>
      <c r="AE228" s="133"/>
      <c r="AF228" s="133"/>
      <c r="AG228" s="133"/>
      <c r="AH228" s="133"/>
      <c r="AI228" s="133"/>
      <c r="AJ228" s="133"/>
      <c r="AK228" s="133"/>
      <c r="AL228" s="133"/>
      <c r="AM228" s="133"/>
      <c r="AN228" s="133"/>
      <c r="AO228" s="133"/>
      <c r="AP228" s="133"/>
      <c r="AQ228" s="133"/>
      <c r="AR228" s="133"/>
      <c r="AS228" s="133"/>
      <c r="AT228" s="133"/>
      <c r="AU228" s="133"/>
      <c r="AV228" s="132" t="s">
        <v>1153</v>
      </c>
      <c r="AW228" s="133"/>
      <c r="AX228" s="134">
        <f>'Stavební rozpočet'!F229</f>
        <v>1</v>
      </c>
      <c r="AY228" s="135"/>
      <c r="AZ228" s="135"/>
      <c r="BA228" s="135"/>
      <c r="BB228" s="135"/>
      <c r="BC228" s="134">
        <f>'Stavební rozpočet'!G229</f>
        <v>0</v>
      </c>
      <c r="BD228" s="135"/>
      <c r="BE228" s="135"/>
      <c r="BF228" s="135"/>
      <c r="BG228" s="135"/>
      <c r="BH228" s="135"/>
      <c r="BI228" s="135"/>
      <c r="BJ228" s="135"/>
      <c r="BK228" s="134">
        <f t="shared" si="9"/>
        <v>0</v>
      </c>
      <c r="BL228" s="135"/>
      <c r="BM228" s="135"/>
      <c r="BN228" s="135"/>
      <c r="BO228" s="135"/>
      <c r="BP228" s="135"/>
      <c r="BQ228" s="135"/>
      <c r="BR228" s="135"/>
      <c r="BS228" s="132" t="s">
        <v>1177</v>
      </c>
      <c r="BT228" s="133"/>
      <c r="BU228" s="133"/>
      <c r="BV228" s="133"/>
      <c r="BW228" s="133"/>
      <c r="BX228" s="133"/>
      <c r="IR228" s="46">
        <f t="shared" si="10"/>
        <v>0</v>
      </c>
      <c r="IS228" s="46">
        <f t="shared" si="11"/>
        <v>0</v>
      </c>
    </row>
    <row r="229" spans="1:253" ht="12.75">
      <c r="A229" s="132" t="s">
        <v>176</v>
      </c>
      <c r="B229" s="133"/>
      <c r="C229" s="132"/>
      <c r="D229" s="133"/>
      <c r="E229" s="133"/>
      <c r="F229" s="132" t="s">
        <v>548</v>
      </c>
      <c r="G229" s="133"/>
      <c r="H229" s="133"/>
      <c r="I229" s="133"/>
      <c r="J229" s="133"/>
      <c r="K229" s="133"/>
      <c r="L229" s="132" t="s">
        <v>903</v>
      </c>
      <c r="M229" s="133"/>
      <c r="N229" s="133"/>
      <c r="O229" s="133"/>
      <c r="P229" s="133"/>
      <c r="Q229" s="133"/>
      <c r="R229" s="133"/>
      <c r="S229" s="133"/>
      <c r="T229" s="133"/>
      <c r="U229" s="133"/>
      <c r="V229" s="133"/>
      <c r="W229" s="133"/>
      <c r="X229" s="133"/>
      <c r="Y229" s="133"/>
      <c r="Z229" s="133"/>
      <c r="AA229" s="133"/>
      <c r="AB229" s="133"/>
      <c r="AC229" s="133"/>
      <c r="AD229" s="133"/>
      <c r="AE229" s="133"/>
      <c r="AF229" s="133"/>
      <c r="AG229" s="133"/>
      <c r="AH229" s="133"/>
      <c r="AI229" s="133"/>
      <c r="AJ229" s="133"/>
      <c r="AK229" s="133"/>
      <c r="AL229" s="133"/>
      <c r="AM229" s="133"/>
      <c r="AN229" s="133"/>
      <c r="AO229" s="133"/>
      <c r="AP229" s="133"/>
      <c r="AQ229" s="133"/>
      <c r="AR229" s="133"/>
      <c r="AS229" s="133"/>
      <c r="AT229" s="133"/>
      <c r="AU229" s="133"/>
      <c r="AV229" s="132" t="s">
        <v>1153</v>
      </c>
      <c r="AW229" s="133"/>
      <c r="AX229" s="134">
        <f>'Stavební rozpočet'!F230</f>
        <v>1</v>
      </c>
      <c r="AY229" s="135"/>
      <c r="AZ229" s="135"/>
      <c r="BA229" s="135"/>
      <c r="BB229" s="135"/>
      <c r="BC229" s="134">
        <f>'Stavební rozpočet'!G230</f>
        <v>0</v>
      </c>
      <c r="BD229" s="135"/>
      <c r="BE229" s="135"/>
      <c r="BF229" s="135"/>
      <c r="BG229" s="135"/>
      <c r="BH229" s="135"/>
      <c r="BI229" s="135"/>
      <c r="BJ229" s="135"/>
      <c r="BK229" s="134">
        <f t="shared" si="9"/>
        <v>0</v>
      </c>
      <c r="BL229" s="135"/>
      <c r="BM229" s="135"/>
      <c r="BN229" s="135"/>
      <c r="BO229" s="135"/>
      <c r="BP229" s="135"/>
      <c r="BQ229" s="135"/>
      <c r="BR229" s="135"/>
      <c r="BS229" s="132" t="s">
        <v>1177</v>
      </c>
      <c r="BT229" s="133"/>
      <c r="BU229" s="133"/>
      <c r="BV229" s="133"/>
      <c r="BW229" s="133"/>
      <c r="BX229" s="133"/>
      <c r="IR229" s="46">
        <f t="shared" si="10"/>
        <v>0</v>
      </c>
      <c r="IS229" s="46">
        <f t="shared" si="11"/>
        <v>0</v>
      </c>
    </row>
    <row r="230" spans="1:253" ht="12.75">
      <c r="A230" s="132" t="s">
        <v>177</v>
      </c>
      <c r="B230" s="133"/>
      <c r="C230" s="132"/>
      <c r="D230" s="133"/>
      <c r="E230" s="133"/>
      <c r="F230" s="132" t="s">
        <v>549</v>
      </c>
      <c r="G230" s="133"/>
      <c r="H230" s="133"/>
      <c r="I230" s="133"/>
      <c r="J230" s="133"/>
      <c r="K230" s="133"/>
      <c r="L230" s="132" t="s">
        <v>904</v>
      </c>
      <c r="M230" s="133"/>
      <c r="N230" s="133"/>
      <c r="O230" s="133"/>
      <c r="P230" s="133"/>
      <c r="Q230" s="133"/>
      <c r="R230" s="133"/>
      <c r="S230" s="133"/>
      <c r="T230" s="133"/>
      <c r="U230" s="133"/>
      <c r="V230" s="133"/>
      <c r="W230" s="133"/>
      <c r="X230" s="133"/>
      <c r="Y230" s="133"/>
      <c r="Z230" s="133"/>
      <c r="AA230" s="133"/>
      <c r="AB230" s="133"/>
      <c r="AC230" s="133"/>
      <c r="AD230" s="133"/>
      <c r="AE230" s="133"/>
      <c r="AF230" s="133"/>
      <c r="AG230" s="133"/>
      <c r="AH230" s="133"/>
      <c r="AI230" s="133"/>
      <c r="AJ230" s="133"/>
      <c r="AK230" s="133"/>
      <c r="AL230" s="133"/>
      <c r="AM230" s="133"/>
      <c r="AN230" s="133"/>
      <c r="AO230" s="133"/>
      <c r="AP230" s="133"/>
      <c r="AQ230" s="133"/>
      <c r="AR230" s="133"/>
      <c r="AS230" s="133"/>
      <c r="AT230" s="133"/>
      <c r="AU230" s="133"/>
      <c r="AV230" s="132" t="s">
        <v>1153</v>
      </c>
      <c r="AW230" s="133"/>
      <c r="AX230" s="134">
        <f>'Stavební rozpočet'!F231</f>
        <v>1</v>
      </c>
      <c r="AY230" s="135"/>
      <c r="AZ230" s="135"/>
      <c r="BA230" s="135"/>
      <c r="BB230" s="135"/>
      <c r="BC230" s="134">
        <f>'Stavební rozpočet'!G231</f>
        <v>0</v>
      </c>
      <c r="BD230" s="135"/>
      <c r="BE230" s="135"/>
      <c r="BF230" s="135"/>
      <c r="BG230" s="135"/>
      <c r="BH230" s="135"/>
      <c r="BI230" s="135"/>
      <c r="BJ230" s="135"/>
      <c r="BK230" s="134">
        <f t="shared" si="9"/>
        <v>0</v>
      </c>
      <c r="BL230" s="135"/>
      <c r="BM230" s="135"/>
      <c r="BN230" s="135"/>
      <c r="BO230" s="135"/>
      <c r="BP230" s="135"/>
      <c r="BQ230" s="135"/>
      <c r="BR230" s="135"/>
      <c r="BS230" s="132" t="s">
        <v>1177</v>
      </c>
      <c r="BT230" s="133"/>
      <c r="BU230" s="133"/>
      <c r="BV230" s="133"/>
      <c r="BW230" s="133"/>
      <c r="BX230" s="133"/>
      <c r="IR230" s="46">
        <f t="shared" si="10"/>
        <v>0</v>
      </c>
      <c r="IS230" s="46">
        <f t="shared" si="11"/>
        <v>0</v>
      </c>
    </row>
    <row r="231" spans="1:76" ht="12.75">
      <c r="A231" s="136" t="s">
        <v>6</v>
      </c>
      <c r="B231" s="137"/>
      <c r="C231" s="136" t="s">
        <v>6</v>
      </c>
      <c r="D231" s="137"/>
      <c r="E231" s="137"/>
      <c r="F231" s="136" t="s">
        <v>550</v>
      </c>
      <c r="G231" s="137"/>
      <c r="H231" s="137"/>
      <c r="I231" s="137"/>
      <c r="J231" s="137"/>
      <c r="K231" s="137"/>
      <c r="L231" s="136" t="s">
        <v>946</v>
      </c>
      <c r="M231" s="137"/>
      <c r="N231" s="137"/>
      <c r="O231" s="137"/>
      <c r="P231" s="137"/>
      <c r="Q231" s="137"/>
      <c r="R231" s="137"/>
      <c r="S231" s="137"/>
      <c r="T231" s="137"/>
      <c r="U231" s="137"/>
      <c r="V231" s="137"/>
      <c r="W231" s="137"/>
      <c r="X231" s="137"/>
      <c r="Y231" s="137"/>
      <c r="Z231" s="137"/>
      <c r="AA231" s="137"/>
      <c r="AB231" s="137"/>
      <c r="AC231" s="137"/>
      <c r="AD231" s="137"/>
      <c r="AE231" s="137"/>
      <c r="AF231" s="137"/>
      <c r="AG231" s="137"/>
      <c r="AH231" s="137"/>
      <c r="AI231" s="137"/>
      <c r="AJ231" s="137"/>
      <c r="AK231" s="137"/>
      <c r="AL231" s="137"/>
      <c r="AM231" s="137"/>
      <c r="AN231" s="137"/>
      <c r="AO231" s="137"/>
      <c r="AP231" s="137"/>
      <c r="AQ231" s="137"/>
      <c r="AR231" s="137"/>
      <c r="AS231" s="137"/>
      <c r="AT231" s="137"/>
      <c r="AU231" s="137"/>
      <c r="AV231" s="136" t="s">
        <v>6</v>
      </c>
      <c r="AW231" s="137"/>
      <c r="AX231" s="138" t="s">
        <v>6</v>
      </c>
      <c r="AY231" s="139"/>
      <c r="AZ231" s="139"/>
      <c r="BA231" s="139"/>
      <c r="BB231" s="139"/>
      <c r="BC231" s="138" t="s">
        <v>6</v>
      </c>
      <c r="BD231" s="139"/>
      <c r="BE231" s="139"/>
      <c r="BF231" s="139"/>
      <c r="BG231" s="139"/>
      <c r="BH231" s="139"/>
      <c r="BI231" s="139"/>
      <c r="BJ231" s="139"/>
      <c r="BK231" s="140">
        <f>SUM(BK232:BK311)</f>
        <v>0</v>
      </c>
      <c r="BL231" s="139"/>
      <c r="BM231" s="139"/>
      <c r="BN231" s="139"/>
      <c r="BO231" s="139"/>
      <c r="BP231" s="139"/>
      <c r="BQ231" s="139"/>
      <c r="BR231" s="139"/>
      <c r="BS231" s="136" t="s">
        <v>6</v>
      </c>
      <c r="BT231" s="137"/>
      <c r="BU231" s="137"/>
      <c r="BV231" s="137"/>
      <c r="BW231" s="137"/>
      <c r="BX231" s="137"/>
    </row>
    <row r="232" spans="1:253" ht="12.75">
      <c r="A232" s="132" t="s">
        <v>178</v>
      </c>
      <c r="B232" s="133"/>
      <c r="C232" s="132"/>
      <c r="D232" s="133"/>
      <c r="E232" s="133"/>
      <c r="F232" s="132" t="s">
        <v>551</v>
      </c>
      <c r="G232" s="133"/>
      <c r="H232" s="133"/>
      <c r="I232" s="133"/>
      <c r="J232" s="133"/>
      <c r="K232" s="133"/>
      <c r="L232" s="132" t="s">
        <v>947</v>
      </c>
      <c r="M232" s="133"/>
      <c r="N232" s="133"/>
      <c r="O232" s="133"/>
      <c r="P232" s="133"/>
      <c r="Q232" s="133"/>
      <c r="R232" s="133"/>
      <c r="S232" s="133"/>
      <c r="T232" s="133"/>
      <c r="U232" s="133"/>
      <c r="V232" s="133"/>
      <c r="W232" s="133"/>
      <c r="X232" s="133"/>
      <c r="Y232" s="133"/>
      <c r="Z232" s="133"/>
      <c r="AA232" s="133"/>
      <c r="AB232" s="133"/>
      <c r="AC232" s="133"/>
      <c r="AD232" s="133"/>
      <c r="AE232" s="133"/>
      <c r="AF232" s="133"/>
      <c r="AG232" s="133"/>
      <c r="AH232" s="133"/>
      <c r="AI232" s="133"/>
      <c r="AJ232" s="133"/>
      <c r="AK232" s="133"/>
      <c r="AL232" s="133"/>
      <c r="AM232" s="133"/>
      <c r="AN232" s="133"/>
      <c r="AO232" s="133"/>
      <c r="AP232" s="133"/>
      <c r="AQ232" s="133"/>
      <c r="AR232" s="133"/>
      <c r="AS232" s="133"/>
      <c r="AT232" s="133"/>
      <c r="AU232" s="133"/>
      <c r="AV232" s="132" t="s">
        <v>1153</v>
      </c>
      <c r="AW232" s="133"/>
      <c r="AX232" s="134">
        <f>'Stavební rozpočet'!F233</f>
        <v>10</v>
      </c>
      <c r="AY232" s="135"/>
      <c r="AZ232" s="135"/>
      <c r="BA232" s="135"/>
      <c r="BB232" s="135"/>
      <c r="BC232" s="134">
        <f>'Stavební rozpočet'!G233</f>
        <v>0</v>
      </c>
      <c r="BD232" s="135"/>
      <c r="BE232" s="135"/>
      <c r="BF232" s="135"/>
      <c r="BG232" s="135"/>
      <c r="BH232" s="135"/>
      <c r="BI232" s="135"/>
      <c r="BJ232" s="135"/>
      <c r="BK232" s="134">
        <f aca="true" t="shared" si="12" ref="BK232:BK263">IR232*AX232+IS232*AX232</f>
        <v>0</v>
      </c>
      <c r="BL232" s="135"/>
      <c r="BM232" s="135"/>
      <c r="BN232" s="135"/>
      <c r="BO232" s="135"/>
      <c r="BP232" s="135"/>
      <c r="BQ232" s="135"/>
      <c r="BR232" s="135"/>
      <c r="BS232" s="132" t="s">
        <v>1177</v>
      </c>
      <c r="BT232" s="133"/>
      <c r="BU232" s="133"/>
      <c r="BV232" s="133"/>
      <c r="BW232" s="133"/>
      <c r="BX232" s="133"/>
      <c r="IR232" s="46">
        <f aca="true" t="shared" si="13" ref="IR232:IR251">BC232*0</f>
        <v>0</v>
      </c>
      <c r="IS232" s="46">
        <f aca="true" t="shared" si="14" ref="IS232:IS251">BC232*(1-0)</f>
        <v>0</v>
      </c>
    </row>
    <row r="233" spans="1:253" ht="12.75">
      <c r="A233" s="132" t="s">
        <v>179</v>
      </c>
      <c r="B233" s="133"/>
      <c r="C233" s="132"/>
      <c r="D233" s="133"/>
      <c r="E233" s="133"/>
      <c r="F233" s="132" t="s">
        <v>552</v>
      </c>
      <c r="G233" s="133"/>
      <c r="H233" s="133"/>
      <c r="I233" s="133"/>
      <c r="J233" s="133"/>
      <c r="K233" s="133"/>
      <c r="L233" s="132" t="s">
        <v>948</v>
      </c>
      <c r="M233" s="133"/>
      <c r="N233" s="133"/>
      <c r="O233" s="133"/>
      <c r="P233" s="133"/>
      <c r="Q233" s="133"/>
      <c r="R233" s="133"/>
      <c r="S233" s="133"/>
      <c r="T233" s="133"/>
      <c r="U233" s="133"/>
      <c r="V233" s="133"/>
      <c r="W233" s="133"/>
      <c r="X233" s="133"/>
      <c r="Y233" s="133"/>
      <c r="Z233" s="133"/>
      <c r="AA233" s="133"/>
      <c r="AB233" s="133"/>
      <c r="AC233" s="133"/>
      <c r="AD233" s="133"/>
      <c r="AE233" s="133"/>
      <c r="AF233" s="133"/>
      <c r="AG233" s="133"/>
      <c r="AH233" s="133"/>
      <c r="AI233" s="133"/>
      <c r="AJ233" s="133"/>
      <c r="AK233" s="133"/>
      <c r="AL233" s="133"/>
      <c r="AM233" s="133"/>
      <c r="AN233" s="133"/>
      <c r="AO233" s="133"/>
      <c r="AP233" s="133"/>
      <c r="AQ233" s="133"/>
      <c r="AR233" s="133"/>
      <c r="AS233" s="133"/>
      <c r="AT233" s="133"/>
      <c r="AU233" s="133"/>
      <c r="AV233" s="132" t="s">
        <v>1153</v>
      </c>
      <c r="AW233" s="133"/>
      <c r="AX233" s="134">
        <f>'Stavební rozpočet'!F234</f>
        <v>6</v>
      </c>
      <c r="AY233" s="135"/>
      <c r="AZ233" s="135"/>
      <c r="BA233" s="135"/>
      <c r="BB233" s="135"/>
      <c r="BC233" s="134">
        <f>'Stavební rozpočet'!G234</f>
        <v>0</v>
      </c>
      <c r="BD233" s="135"/>
      <c r="BE233" s="135"/>
      <c r="BF233" s="135"/>
      <c r="BG233" s="135"/>
      <c r="BH233" s="135"/>
      <c r="BI233" s="135"/>
      <c r="BJ233" s="135"/>
      <c r="BK233" s="134">
        <f t="shared" si="12"/>
        <v>0</v>
      </c>
      <c r="BL233" s="135"/>
      <c r="BM233" s="135"/>
      <c r="BN233" s="135"/>
      <c r="BO233" s="135"/>
      <c r="BP233" s="135"/>
      <c r="BQ233" s="135"/>
      <c r="BR233" s="135"/>
      <c r="BS233" s="132" t="s">
        <v>1177</v>
      </c>
      <c r="BT233" s="133"/>
      <c r="BU233" s="133"/>
      <c r="BV233" s="133"/>
      <c r="BW233" s="133"/>
      <c r="BX233" s="133"/>
      <c r="IR233" s="46">
        <f t="shared" si="13"/>
        <v>0</v>
      </c>
      <c r="IS233" s="46">
        <f t="shared" si="14"/>
        <v>0</v>
      </c>
    </row>
    <row r="234" spans="1:253" ht="12.75">
      <c r="A234" s="132" t="s">
        <v>180</v>
      </c>
      <c r="B234" s="133"/>
      <c r="C234" s="132"/>
      <c r="D234" s="133"/>
      <c r="E234" s="133"/>
      <c r="F234" s="132" t="s">
        <v>553</v>
      </c>
      <c r="G234" s="133"/>
      <c r="H234" s="133"/>
      <c r="I234" s="133"/>
      <c r="J234" s="133"/>
      <c r="K234" s="133"/>
      <c r="L234" s="132" t="s">
        <v>949</v>
      </c>
      <c r="M234" s="133"/>
      <c r="N234" s="133"/>
      <c r="O234" s="133"/>
      <c r="P234" s="133"/>
      <c r="Q234" s="133"/>
      <c r="R234" s="133"/>
      <c r="S234" s="133"/>
      <c r="T234" s="133"/>
      <c r="U234" s="133"/>
      <c r="V234" s="133"/>
      <c r="W234" s="133"/>
      <c r="X234" s="133"/>
      <c r="Y234" s="133"/>
      <c r="Z234" s="133"/>
      <c r="AA234" s="133"/>
      <c r="AB234" s="133"/>
      <c r="AC234" s="133"/>
      <c r="AD234" s="133"/>
      <c r="AE234" s="133"/>
      <c r="AF234" s="133"/>
      <c r="AG234" s="133"/>
      <c r="AH234" s="133"/>
      <c r="AI234" s="133"/>
      <c r="AJ234" s="133"/>
      <c r="AK234" s="133"/>
      <c r="AL234" s="133"/>
      <c r="AM234" s="133"/>
      <c r="AN234" s="133"/>
      <c r="AO234" s="133"/>
      <c r="AP234" s="133"/>
      <c r="AQ234" s="133"/>
      <c r="AR234" s="133"/>
      <c r="AS234" s="133"/>
      <c r="AT234" s="133"/>
      <c r="AU234" s="133"/>
      <c r="AV234" s="132" t="s">
        <v>1153</v>
      </c>
      <c r="AW234" s="133"/>
      <c r="AX234" s="134">
        <f>'Stavební rozpočet'!F235</f>
        <v>42</v>
      </c>
      <c r="AY234" s="135"/>
      <c r="AZ234" s="135"/>
      <c r="BA234" s="135"/>
      <c r="BB234" s="135"/>
      <c r="BC234" s="134">
        <f>'Stavební rozpočet'!G235</f>
        <v>0</v>
      </c>
      <c r="BD234" s="135"/>
      <c r="BE234" s="135"/>
      <c r="BF234" s="135"/>
      <c r="BG234" s="135"/>
      <c r="BH234" s="135"/>
      <c r="BI234" s="135"/>
      <c r="BJ234" s="135"/>
      <c r="BK234" s="134">
        <f t="shared" si="12"/>
        <v>0</v>
      </c>
      <c r="BL234" s="135"/>
      <c r="BM234" s="135"/>
      <c r="BN234" s="135"/>
      <c r="BO234" s="135"/>
      <c r="BP234" s="135"/>
      <c r="BQ234" s="135"/>
      <c r="BR234" s="135"/>
      <c r="BS234" s="132" t="s">
        <v>1177</v>
      </c>
      <c r="BT234" s="133"/>
      <c r="BU234" s="133"/>
      <c r="BV234" s="133"/>
      <c r="BW234" s="133"/>
      <c r="BX234" s="133"/>
      <c r="IR234" s="46">
        <f t="shared" si="13"/>
        <v>0</v>
      </c>
      <c r="IS234" s="46">
        <f t="shared" si="14"/>
        <v>0</v>
      </c>
    </row>
    <row r="235" spans="1:253" ht="12.75">
      <c r="A235" s="132" t="s">
        <v>181</v>
      </c>
      <c r="B235" s="133"/>
      <c r="C235" s="132"/>
      <c r="D235" s="133"/>
      <c r="E235" s="133"/>
      <c r="F235" s="132" t="s">
        <v>554</v>
      </c>
      <c r="G235" s="133"/>
      <c r="H235" s="133"/>
      <c r="I235" s="133"/>
      <c r="J235" s="133"/>
      <c r="K235" s="133"/>
      <c r="L235" s="132" t="s">
        <v>950</v>
      </c>
      <c r="M235" s="133"/>
      <c r="N235" s="133"/>
      <c r="O235" s="133"/>
      <c r="P235" s="133"/>
      <c r="Q235" s="133"/>
      <c r="R235" s="133"/>
      <c r="S235" s="133"/>
      <c r="T235" s="133"/>
      <c r="U235" s="133"/>
      <c r="V235" s="133"/>
      <c r="W235" s="133"/>
      <c r="X235" s="133"/>
      <c r="Y235" s="133"/>
      <c r="Z235" s="133"/>
      <c r="AA235" s="133"/>
      <c r="AB235" s="133"/>
      <c r="AC235" s="133"/>
      <c r="AD235" s="133"/>
      <c r="AE235" s="133"/>
      <c r="AF235" s="133"/>
      <c r="AG235" s="133"/>
      <c r="AH235" s="133"/>
      <c r="AI235" s="133"/>
      <c r="AJ235" s="133"/>
      <c r="AK235" s="133"/>
      <c r="AL235" s="133"/>
      <c r="AM235" s="133"/>
      <c r="AN235" s="133"/>
      <c r="AO235" s="133"/>
      <c r="AP235" s="133"/>
      <c r="AQ235" s="133"/>
      <c r="AR235" s="133"/>
      <c r="AS235" s="133"/>
      <c r="AT235" s="133"/>
      <c r="AU235" s="133"/>
      <c r="AV235" s="132" t="s">
        <v>1154</v>
      </c>
      <c r="AW235" s="133"/>
      <c r="AX235" s="134">
        <f>'Stavební rozpočet'!F236</f>
        <v>120</v>
      </c>
      <c r="AY235" s="135"/>
      <c r="AZ235" s="135"/>
      <c r="BA235" s="135"/>
      <c r="BB235" s="135"/>
      <c r="BC235" s="134">
        <f>'Stavební rozpočet'!G236</f>
        <v>0</v>
      </c>
      <c r="BD235" s="135"/>
      <c r="BE235" s="135"/>
      <c r="BF235" s="135"/>
      <c r="BG235" s="135"/>
      <c r="BH235" s="135"/>
      <c r="BI235" s="135"/>
      <c r="BJ235" s="135"/>
      <c r="BK235" s="134">
        <f t="shared" si="12"/>
        <v>0</v>
      </c>
      <c r="BL235" s="135"/>
      <c r="BM235" s="135"/>
      <c r="BN235" s="135"/>
      <c r="BO235" s="135"/>
      <c r="BP235" s="135"/>
      <c r="BQ235" s="135"/>
      <c r="BR235" s="135"/>
      <c r="BS235" s="132" t="s">
        <v>1177</v>
      </c>
      <c r="BT235" s="133"/>
      <c r="BU235" s="133"/>
      <c r="BV235" s="133"/>
      <c r="BW235" s="133"/>
      <c r="BX235" s="133"/>
      <c r="IR235" s="46">
        <f t="shared" si="13"/>
        <v>0</v>
      </c>
      <c r="IS235" s="46">
        <f t="shared" si="14"/>
        <v>0</v>
      </c>
    </row>
    <row r="236" spans="1:253" ht="12.75">
      <c r="A236" s="132" t="s">
        <v>182</v>
      </c>
      <c r="B236" s="133"/>
      <c r="C236" s="132"/>
      <c r="D236" s="133"/>
      <c r="E236" s="133"/>
      <c r="F236" s="132" t="s">
        <v>555</v>
      </c>
      <c r="G236" s="133"/>
      <c r="H236" s="133"/>
      <c r="I236" s="133"/>
      <c r="J236" s="133"/>
      <c r="K236" s="133"/>
      <c r="L236" s="132" t="s">
        <v>951</v>
      </c>
      <c r="M236" s="133"/>
      <c r="N236" s="133"/>
      <c r="O236" s="133"/>
      <c r="P236" s="133"/>
      <c r="Q236" s="133"/>
      <c r="R236" s="133"/>
      <c r="S236" s="133"/>
      <c r="T236" s="133"/>
      <c r="U236" s="133"/>
      <c r="V236" s="133"/>
      <c r="W236" s="133"/>
      <c r="X236" s="133"/>
      <c r="Y236" s="133"/>
      <c r="Z236" s="133"/>
      <c r="AA236" s="133"/>
      <c r="AB236" s="133"/>
      <c r="AC236" s="133"/>
      <c r="AD236" s="133"/>
      <c r="AE236" s="133"/>
      <c r="AF236" s="133"/>
      <c r="AG236" s="133"/>
      <c r="AH236" s="133"/>
      <c r="AI236" s="133"/>
      <c r="AJ236" s="133"/>
      <c r="AK236" s="133"/>
      <c r="AL236" s="133"/>
      <c r="AM236" s="133"/>
      <c r="AN236" s="133"/>
      <c r="AO236" s="133"/>
      <c r="AP236" s="133"/>
      <c r="AQ236" s="133"/>
      <c r="AR236" s="133"/>
      <c r="AS236" s="133"/>
      <c r="AT236" s="133"/>
      <c r="AU236" s="133"/>
      <c r="AV236" s="132" t="s">
        <v>1154</v>
      </c>
      <c r="AW236" s="133"/>
      <c r="AX236" s="134">
        <f>'Stavební rozpočet'!F237</f>
        <v>12</v>
      </c>
      <c r="AY236" s="135"/>
      <c r="AZ236" s="135"/>
      <c r="BA236" s="135"/>
      <c r="BB236" s="135"/>
      <c r="BC236" s="134">
        <f>'Stavební rozpočet'!G237</f>
        <v>0</v>
      </c>
      <c r="BD236" s="135"/>
      <c r="BE236" s="135"/>
      <c r="BF236" s="135"/>
      <c r="BG236" s="135"/>
      <c r="BH236" s="135"/>
      <c r="BI236" s="135"/>
      <c r="BJ236" s="135"/>
      <c r="BK236" s="134">
        <f t="shared" si="12"/>
        <v>0</v>
      </c>
      <c r="BL236" s="135"/>
      <c r="BM236" s="135"/>
      <c r="BN236" s="135"/>
      <c r="BO236" s="135"/>
      <c r="BP236" s="135"/>
      <c r="BQ236" s="135"/>
      <c r="BR236" s="135"/>
      <c r="BS236" s="132" t="s">
        <v>1177</v>
      </c>
      <c r="BT236" s="133"/>
      <c r="BU236" s="133"/>
      <c r="BV236" s="133"/>
      <c r="BW236" s="133"/>
      <c r="BX236" s="133"/>
      <c r="IR236" s="46">
        <f t="shared" si="13"/>
        <v>0</v>
      </c>
      <c r="IS236" s="46">
        <f t="shared" si="14"/>
        <v>0</v>
      </c>
    </row>
    <row r="237" spans="1:253" ht="12.75">
      <c r="A237" s="132" t="s">
        <v>183</v>
      </c>
      <c r="B237" s="133"/>
      <c r="C237" s="132"/>
      <c r="D237" s="133"/>
      <c r="E237" s="133"/>
      <c r="F237" s="132" t="s">
        <v>556</v>
      </c>
      <c r="G237" s="133"/>
      <c r="H237" s="133"/>
      <c r="I237" s="133"/>
      <c r="J237" s="133"/>
      <c r="K237" s="133"/>
      <c r="L237" s="132" t="s">
        <v>952</v>
      </c>
      <c r="M237" s="133"/>
      <c r="N237" s="133"/>
      <c r="O237" s="133"/>
      <c r="P237" s="133"/>
      <c r="Q237" s="133"/>
      <c r="R237" s="133"/>
      <c r="S237" s="133"/>
      <c r="T237" s="133"/>
      <c r="U237" s="133"/>
      <c r="V237" s="133"/>
      <c r="W237" s="133"/>
      <c r="X237" s="133"/>
      <c r="Y237" s="133"/>
      <c r="Z237" s="133"/>
      <c r="AA237" s="133"/>
      <c r="AB237" s="133"/>
      <c r="AC237" s="133"/>
      <c r="AD237" s="133"/>
      <c r="AE237" s="133"/>
      <c r="AF237" s="133"/>
      <c r="AG237" s="133"/>
      <c r="AH237" s="133"/>
      <c r="AI237" s="133"/>
      <c r="AJ237" s="133"/>
      <c r="AK237" s="133"/>
      <c r="AL237" s="133"/>
      <c r="AM237" s="133"/>
      <c r="AN237" s="133"/>
      <c r="AO237" s="133"/>
      <c r="AP237" s="133"/>
      <c r="AQ237" s="133"/>
      <c r="AR237" s="133"/>
      <c r="AS237" s="133"/>
      <c r="AT237" s="133"/>
      <c r="AU237" s="133"/>
      <c r="AV237" s="132" t="s">
        <v>1153</v>
      </c>
      <c r="AW237" s="133"/>
      <c r="AX237" s="134">
        <f>'Stavební rozpočet'!F238</f>
        <v>1</v>
      </c>
      <c r="AY237" s="135"/>
      <c r="AZ237" s="135"/>
      <c r="BA237" s="135"/>
      <c r="BB237" s="135"/>
      <c r="BC237" s="134">
        <f>'Stavební rozpočet'!G238</f>
        <v>0</v>
      </c>
      <c r="BD237" s="135"/>
      <c r="BE237" s="135"/>
      <c r="BF237" s="135"/>
      <c r="BG237" s="135"/>
      <c r="BH237" s="135"/>
      <c r="BI237" s="135"/>
      <c r="BJ237" s="135"/>
      <c r="BK237" s="134">
        <f t="shared" si="12"/>
        <v>0</v>
      </c>
      <c r="BL237" s="135"/>
      <c r="BM237" s="135"/>
      <c r="BN237" s="135"/>
      <c r="BO237" s="135"/>
      <c r="BP237" s="135"/>
      <c r="BQ237" s="135"/>
      <c r="BR237" s="135"/>
      <c r="BS237" s="132" t="s">
        <v>1177</v>
      </c>
      <c r="BT237" s="133"/>
      <c r="BU237" s="133"/>
      <c r="BV237" s="133"/>
      <c r="BW237" s="133"/>
      <c r="BX237" s="133"/>
      <c r="IR237" s="46">
        <f t="shared" si="13"/>
        <v>0</v>
      </c>
      <c r="IS237" s="46">
        <f t="shared" si="14"/>
        <v>0</v>
      </c>
    </row>
    <row r="238" spans="1:253" ht="12.75">
      <c r="A238" s="132" t="s">
        <v>184</v>
      </c>
      <c r="B238" s="133"/>
      <c r="C238" s="132"/>
      <c r="D238" s="133"/>
      <c r="E238" s="133"/>
      <c r="F238" s="132" t="s">
        <v>557</v>
      </c>
      <c r="G238" s="133"/>
      <c r="H238" s="133"/>
      <c r="I238" s="133"/>
      <c r="J238" s="133"/>
      <c r="K238" s="133"/>
      <c r="L238" s="132" t="s">
        <v>953</v>
      </c>
      <c r="M238" s="133"/>
      <c r="N238" s="133"/>
      <c r="O238" s="133"/>
      <c r="P238" s="133"/>
      <c r="Q238" s="133"/>
      <c r="R238" s="133"/>
      <c r="S238" s="133"/>
      <c r="T238" s="133"/>
      <c r="U238" s="133"/>
      <c r="V238" s="133"/>
      <c r="W238" s="133"/>
      <c r="X238" s="133"/>
      <c r="Y238" s="133"/>
      <c r="Z238" s="133"/>
      <c r="AA238" s="133"/>
      <c r="AB238" s="133"/>
      <c r="AC238" s="133"/>
      <c r="AD238" s="133"/>
      <c r="AE238" s="133"/>
      <c r="AF238" s="133"/>
      <c r="AG238" s="133"/>
      <c r="AH238" s="133"/>
      <c r="AI238" s="133"/>
      <c r="AJ238" s="133"/>
      <c r="AK238" s="133"/>
      <c r="AL238" s="133"/>
      <c r="AM238" s="133"/>
      <c r="AN238" s="133"/>
      <c r="AO238" s="133"/>
      <c r="AP238" s="133"/>
      <c r="AQ238" s="133"/>
      <c r="AR238" s="133"/>
      <c r="AS238" s="133"/>
      <c r="AT238" s="133"/>
      <c r="AU238" s="133"/>
      <c r="AV238" s="132" t="s">
        <v>1157</v>
      </c>
      <c r="AW238" s="133"/>
      <c r="AX238" s="134">
        <f>'Stavební rozpočet'!F239</f>
        <v>2</v>
      </c>
      <c r="AY238" s="135"/>
      <c r="AZ238" s="135"/>
      <c r="BA238" s="135"/>
      <c r="BB238" s="135"/>
      <c r="BC238" s="134">
        <f>'Stavební rozpočet'!G239</f>
        <v>0</v>
      </c>
      <c r="BD238" s="135"/>
      <c r="BE238" s="135"/>
      <c r="BF238" s="135"/>
      <c r="BG238" s="135"/>
      <c r="BH238" s="135"/>
      <c r="BI238" s="135"/>
      <c r="BJ238" s="135"/>
      <c r="BK238" s="134">
        <f t="shared" si="12"/>
        <v>0</v>
      </c>
      <c r="BL238" s="135"/>
      <c r="BM238" s="135"/>
      <c r="BN238" s="135"/>
      <c r="BO238" s="135"/>
      <c r="BP238" s="135"/>
      <c r="BQ238" s="135"/>
      <c r="BR238" s="135"/>
      <c r="BS238" s="132" t="s">
        <v>1177</v>
      </c>
      <c r="BT238" s="133"/>
      <c r="BU238" s="133"/>
      <c r="BV238" s="133"/>
      <c r="BW238" s="133"/>
      <c r="BX238" s="133"/>
      <c r="IR238" s="46">
        <f t="shared" si="13"/>
        <v>0</v>
      </c>
      <c r="IS238" s="46">
        <f t="shared" si="14"/>
        <v>0</v>
      </c>
    </row>
    <row r="239" spans="1:253" ht="12.75">
      <c r="A239" s="132" t="s">
        <v>185</v>
      </c>
      <c r="B239" s="133"/>
      <c r="C239" s="132"/>
      <c r="D239" s="133"/>
      <c r="E239" s="133"/>
      <c r="F239" s="132" t="s">
        <v>558</v>
      </c>
      <c r="G239" s="133"/>
      <c r="H239" s="133"/>
      <c r="I239" s="133"/>
      <c r="J239" s="133"/>
      <c r="K239" s="133"/>
      <c r="L239" s="132" t="s">
        <v>954</v>
      </c>
      <c r="M239" s="133"/>
      <c r="N239" s="133"/>
      <c r="O239" s="133"/>
      <c r="P239" s="133"/>
      <c r="Q239" s="133"/>
      <c r="R239" s="133"/>
      <c r="S239" s="133"/>
      <c r="T239" s="133"/>
      <c r="U239" s="133"/>
      <c r="V239" s="133"/>
      <c r="W239" s="133"/>
      <c r="X239" s="133"/>
      <c r="Y239" s="133"/>
      <c r="Z239" s="133"/>
      <c r="AA239" s="133"/>
      <c r="AB239" s="133"/>
      <c r="AC239" s="133"/>
      <c r="AD239" s="133"/>
      <c r="AE239" s="133"/>
      <c r="AF239" s="133"/>
      <c r="AG239" s="133"/>
      <c r="AH239" s="133"/>
      <c r="AI239" s="133"/>
      <c r="AJ239" s="133"/>
      <c r="AK239" s="133"/>
      <c r="AL239" s="133"/>
      <c r="AM239" s="133"/>
      <c r="AN239" s="133"/>
      <c r="AO239" s="133"/>
      <c r="AP239" s="133"/>
      <c r="AQ239" s="133"/>
      <c r="AR239" s="133"/>
      <c r="AS239" s="133"/>
      <c r="AT239" s="133"/>
      <c r="AU239" s="133"/>
      <c r="AV239" s="132" t="s">
        <v>1157</v>
      </c>
      <c r="AW239" s="133"/>
      <c r="AX239" s="134">
        <f>'Stavební rozpočet'!F240</f>
        <v>1</v>
      </c>
      <c r="AY239" s="135"/>
      <c r="AZ239" s="135"/>
      <c r="BA239" s="135"/>
      <c r="BB239" s="135"/>
      <c r="BC239" s="134">
        <f>'Stavební rozpočet'!G240</f>
        <v>0</v>
      </c>
      <c r="BD239" s="135"/>
      <c r="BE239" s="135"/>
      <c r="BF239" s="135"/>
      <c r="BG239" s="135"/>
      <c r="BH239" s="135"/>
      <c r="BI239" s="135"/>
      <c r="BJ239" s="135"/>
      <c r="BK239" s="134">
        <f t="shared" si="12"/>
        <v>0</v>
      </c>
      <c r="BL239" s="135"/>
      <c r="BM239" s="135"/>
      <c r="BN239" s="135"/>
      <c r="BO239" s="135"/>
      <c r="BP239" s="135"/>
      <c r="BQ239" s="135"/>
      <c r="BR239" s="135"/>
      <c r="BS239" s="132" t="s">
        <v>1177</v>
      </c>
      <c r="BT239" s="133"/>
      <c r="BU239" s="133"/>
      <c r="BV239" s="133"/>
      <c r="BW239" s="133"/>
      <c r="BX239" s="133"/>
      <c r="IR239" s="46">
        <f t="shared" si="13"/>
        <v>0</v>
      </c>
      <c r="IS239" s="46">
        <f t="shared" si="14"/>
        <v>0</v>
      </c>
    </row>
    <row r="240" spans="1:253" ht="12.75">
      <c r="A240" s="132" t="s">
        <v>186</v>
      </c>
      <c r="B240" s="133"/>
      <c r="C240" s="132"/>
      <c r="D240" s="133"/>
      <c r="E240" s="133"/>
      <c r="F240" s="132" t="s">
        <v>559</v>
      </c>
      <c r="G240" s="133"/>
      <c r="H240" s="133"/>
      <c r="I240" s="133"/>
      <c r="J240" s="133"/>
      <c r="K240" s="133"/>
      <c r="L240" s="132" t="s">
        <v>955</v>
      </c>
      <c r="M240" s="133"/>
      <c r="N240" s="133"/>
      <c r="O240" s="133"/>
      <c r="P240" s="133"/>
      <c r="Q240" s="133"/>
      <c r="R240" s="133"/>
      <c r="S240" s="133"/>
      <c r="T240" s="133"/>
      <c r="U240" s="133"/>
      <c r="V240" s="133"/>
      <c r="W240" s="133"/>
      <c r="X240" s="133"/>
      <c r="Y240" s="133"/>
      <c r="Z240" s="133"/>
      <c r="AA240" s="133"/>
      <c r="AB240" s="133"/>
      <c r="AC240" s="133"/>
      <c r="AD240" s="133"/>
      <c r="AE240" s="133"/>
      <c r="AF240" s="133"/>
      <c r="AG240" s="133"/>
      <c r="AH240" s="133"/>
      <c r="AI240" s="133"/>
      <c r="AJ240" s="133"/>
      <c r="AK240" s="133"/>
      <c r="AL240" s="133"/>
      <c r="AM240" s="133"/>
      <c r="AN240" s="133"/>
      <c r="AO240" s="133"/>
      <c r="AP240" s="133"/>
      <c r="AQ240" s="133"/>
      <c r="AR240" s="133"/>
      <c r="AS240" s="133"/>
      <c r="AT240" s="133"/>
      <c r="AU240" s="133"/>
      <c r="AV240" s="132" t="s">
        <v>1157</v>
      </c>
      <c r="AW240" s="133"/>
      <c r="AX240" s="134">
        <f>'Stavební rozpočet'!F241</f>
        <v>1</v>
      </c>
      <c r="AY240" s="135"/>
      <c r="AZ240" s="135"/>
      <c r="BA240" s="135"/>
      <c r="BB240" s="135"/>
      <c r="BC240" s="134">
        <f>'Stavební rozpočet'!G241</f>
        <v>0</v>
      </c>
      <c r="BD240" s="135"/>
      <c r="BE240" s="135"/>
      <c r="BF240" s="135"/>
      <c r="BG240" s="135"/>
      <c r="BH240" s="135"/>
      <c r="BI240" s="135"/>
      <c r="BJ240" s="135"/>
      <c r="BK240" s="134">
        <f t="shared" si="12"/>
        <v>0</v>
      </c>
      <c r="BL240" s="135"/>
      <c r="BM240" s="135"/>
      <c r="BN240" s="135"/>
      <c r="BO240" s="135"/>
      <c r="BP240" s="135"/>
      <c r="BQ240" s="135"/>
      <c r="BR240" s="135"/>
      <c r="BS240" s="132" t="s">
        <v>1177</v>
      </c>
      <c r="BT240" s="133"/>
      <c r="BU240" s="133"/>
      <c r="BV240" s="133"/>
      <c r="BW240" s="133"/>
      <c r="BX240" s="133"/>
      <c r="IR240" s="46">
        <f t="shared" si="13"/>
        <v>0</v>
      </c>
      <c r="IS240" s="46">
        <f t="shared" si="14"/>
        <v>0</v>
      </c>
    </row>
    <row r="241" spans="1:253" ht="12.75">
      <c r="A241" s="132" t="s">
        <v>187</v>
      </c>
      <c r="B241" s="133"/>
      <c r="C241" s="132"/>
      <c r="D241" s="133"/>
      <c r="E241" s="133"/>
      <c r="F241" s="132" t="s">
        <v>560</v>
      </c>
      <c r="G241" s="133"/>
      <c r="H241" s="133"/>
      <c r="I241" s="133"/>
      <c r="J241" s="133"/>
      <c r="K241" s="133"/>
      <c r="L241" s="132" t="s">
        <v>956</v>
      </c>
      <c r="M241" s="133"/>
      <c r="N241" s="133"/>
      <c r="O241" s="133"/>
      <c r="P241" s="133"/>
      <c r="Q241" s="133"/>
      <c r="R241" s="133"/>
      <c r="S241" s="133"/>
      <c r="T241" s="133"/>
      <c r="U241" s="133"/>
      <c r="V241" s="133"/>
      <c r="W241" s="133"/>
      <c r="X241" s="133"/>
      <c r="Y241" s="133"/>
      <c r="Z241" s="133"/>
      <c r="AA241" s="133"/>
      <c r="AB241" s="133"/>
      <c r="AC241" s="133"/>
      <c r="AD241" s="133"/>
      <c r="AE241" s="133"/>
      <c r="AF241" s="133"/>
      <c r="AG241" s="133"/>
      <c r="AH241" s="133"/>
      <c r="AI241" s="133"/>
      <c r="AJ241" s="133"/>
      <c r="AK241" s="133"/>
      <c r="AL241" s="133"/>
      <c r="AM241" s="133"/>
      <c r="AN241" s="133"/>
      <c r="AO241" s="133"/>
      <c r="AP241" s="133"/>
      <c r="AQ241" s="133"/>
      <c r="AR241" s="133"/>
      <c r="AS241" s="133"/>
      <c r="AT241" s="133"/>
      <c r="AU241" s="133"/>
      <c r="AV241" s="132" t="s">
        <v>1155</v>
      </c>
      <c r="AW241" s="133"/>
      <c r="AX241" s="134">
        <f>'Stavební rozpočet'!F242</f>
        <v>4</v>
      </c>
      <c r="AY241" s="135"/>
      <c r="AZ241" s="135"/>
      <c r="BA241" s="135"/>
      <c r="BB241" s="135"/>
      <c r="BC241" s="134">
        <f>'Stavební rozpočet'!G242</f>
        <v>0</v>
      </c>
      <c r="BD241" s="135"/>
      <c r="BE241" s="135"/>
      <c r="BF241" s="135"/>
      <c r="BG241" s="135"/>
      <c r="BH241" s="135"/>
      <c r="BI241" s="135"/>
      <c r="BJ241" s="135"/>
      <c r="BK241" s="134">
        <f t="shared" si="12"/>
        <v>0</v>
      </c>
      <c r="BL241" s="135"/>
      <c r="BM241" s="135"/>
      <c r="BN241" s="135"/>
      <c r="BO241" s="135"/>
      <c r="BP241" s="135"/>
      <c r="BQ241" s="135"/>
      <c r="BR241" s="135"/>
      <c r="BS241" s="132" t="s">
        <v>1177</v>
      </c>
      <c r="BT241" s="133"/>
      <c r="BU241" s="133"/>
      <c r="BV241" s="133"/>
      <c r="BW241" s="133"/>
      <c r="BX241" s="133"/>
      <c r="IR241" s="46">
        <f t="shared" si="13"/>
        <v>0</v>
      </c>
      <c r="IS241" s="46">
        <f t="shared" si="14"/>
        <v>0</v>
      </c>
    </row>
    <row r="242" spans="1:253" ht="12.75">
      <c r="A242" s="132" t="s">
        <v>188</v>
      </c>
      <c r="B242" s="133"/>
      <c r="C242" s="132"/>
      <c r="D242" s="133"/>
      <c r="E242" s="133"/>
      <c r="F242" s="132" t="s">
        <v>561</v>
      </c>
      <c r="G242" s="133"/>
      <c r="H242" s="133"/>
      <c r="I242" s="133"/>
      <c r="J242" s="133"/>
      <c r="K242" s="133"/>
      <c r="L242" s="132" t="s">
        <v>957</v>
      </c>
      <c r="M242" s="133"/>
      <c r="N242" s="133"/>
      <c r="O242" s="133"/>
      <c r="P242" s="133"/>
      <c r="Q242" s="133"/>
      <c r="R242" s="133"/>
      <c r="S242" s="133"/>
      <c r="T242" s="133"/>
      <c r="U242" s="133"/>
      <c r="V242" s="133"/>
      <c r="W242" s="133"/>
      <c r="X242" s="133"/>
      <c r="Y242" s="133"/>
      <c r="Z242" s="133"/>
      <c r="AA242" s="133"/>
      <c r="AB242" s="133"/>
      <c r="AC242" s="133"/>
      <c r="AD242" s="133"/>
      <c r="AE242" s="133"/>
      <c r="AF242" s="133"/>
      <c r="AG242" s="133"/>
      <c r="AH242" s="133"/>
      <c r="AI242" s="133"/>
      <c r="AJ242" s="133"/>
      <c r="AK242" s="133"/>
      <c r="AL242" s="133"/>
      <c r="AM242" s="133"/>
      <c r="AN242" s="133"/>
      <c r="AO242" s="133"/>
      <c r="AP242" s="133"/>
      <c r="AQ242" s="133"/>
      <c r="AR242" s="133"/>
      <c r="AS242" s="133"/>
      <c r="AT242" s="133"/>
      <c r="AU242" s="133"/>
      <c r="AV242" s="132" t="s">
        <v>1154</v>
      </c>
      <c r="AW242" s="133"/>
      <c r="AX242" s="134">
        <f>'Stavební rozpočet'!F243</f>
        <v>40</v>
      </c>
      <c r="AY242" s="135"/>
      <c r="AZ242" s="135"/>
      <c r="BA242" s="135"/>
      <c r="BB242" s="135"/>
      <c r="BC242" s="134">
        <f>'Stavební rozpočet'!G243</f>
        <v>0</v>
      </c>
      <c r="BD242" s="135"/>
      <c r="BE242" s="135"/>
      <c r="BF242" s="135"/>
      <c r="BG242" s="135"/>
      <c r="BH242" s="135"/>
      <c r="BI242" s="135"/>
      <c r="BJ242" s="135"/>
      <c r="BK242" s="134">
        <f t="shared" si="12"/>
        <v>0</v>
      </c>
      <c r="BL242" s="135"/>
      <c r="BM242" s="135"/>
      <c r="BN242" s="135"/>
      <c r="BO242" s="135"/>
      <c r="BP242" s="135"/>
      <c r="BQ242" s="135"/>
      <c r="BR242" s="135"/>
      <c r="BS242" s="132" t="s">
        <v>1177</v>
      </c>
      <c r="BT242" s="133"/>
      <c r="BU242" s="133"/>
      <c r="BV242" s="133"/>
      <c r="BW242" s="133"/>
      <c r="BX242" s="133"/>
      <c r="IR242" s="46">
        <f t="shared" si="13"/>
        <v>0</v>
      </c>
      <c r="IS242" s="46">
        <f t="shared" si="14"/>
        <v>0</v>
      </c>
    </row>
    <row r="243" spans="1:253" ht="12.75">
      <c r="A243" s="132" t="s">
        <v>189</v>
      </c>
      <c r="B243" s="133"/>
      <c r="C243" s="132"/>
      <c r="D243" s="133"/>
      <c r="E243" s="133"/>
      <c r="F243" s="132" t="s">
        <v>562</v>
      </c>
      <c r="G243" s="133"/>
      <c r="H243" s="133"/>
      <c r="I243" s="133"/>
      <c r="J243" s="133"/>
      <c r="K243" s="133"/>
      <c r="L243" s="132" t="s">
        <v>958</v>
      </c>
      <c r="M243" s="133"/>
      <c r="N243" s="133"/>
      <c r="O243" s="133"/>
      <c r="P243" s="133"/>
      <c r="Q243" s="133"/>
      <c r="R243" s="133"/>
      <c r="S243" s="133"/>
      <c r="T243" s="133"/>
      <c r="U243" s="133"/>
      <c r="V243" s="133"/>
      <c r="W243" s="133"/>
      <c r="X243" s="133"/>
      <c r="Y243" s="133"/>
      <c r="Z243" s="133"/>
      <c r="AA243" s="133"/>
      <c r="AB243" s="133"/>
      <c r="AC243" s="133"/>
      <c r="AD243" s="133"/>
      <c r="AE243" s="133"/>
      <c r="AF243" s="133"/>
      <c r="AG243" s="133"/>
      <c r="AH243" s="133"/>
      <c r="AI243" s="133"/>
      <c r="AJ243" s="133"/>
      <c r="AK243" s="133"/>
      <c r="AL243" s="133"/>
      <c r="AM243" s="133"/>
      <c r="AN243" s="133"/>
      <c r="AO243" s="133"/>
      <c r="AP243" s="133"/>
      <c r="AQ243" s="133"/>
      <c r="AR243" s="133"/>
      <c r="AS243" s="133"/>
      <c r="AT243" s="133"/>
      <c r="AU243" s="133"/>
      <c r="AV243" s="132" t="s">
        <v>1154</v>
      </c>
      <c r="AW243" s="133"/>
      <c r="AX243" s="134">
        <f>'Stavební rozpočet'!F244</f>
        <v>40</v>
      </c>
      <c r="AY243" s="135"/>
      <c r="AZ243" s="135"/>
      <c r="BA243" s="135"/>
      <c r="BB243" s="135"/>
      <c r="BC243" s="134">
        <f>'Stavební rozpočet'!G244</f>
        <v>0</v>
      </c>
      <c r="BD243" s="135"/>
      <c r="BE243" s="135"/>
      <c r="BF243" s="135"/>
      <c r="BG243" s="135"/>
      <c r="BH243" s="135"/>
      <c r="BI243" s="135"/>
      <c r="BJ243" s="135"/>
      <c r="BK243" s="134">
        <f t="shared" si="12"/>
        <v>0</v>
      </c>
      <c r="BL243" s="135"/>
      <c r="BM243" s="135"/>
      <c r="BN243" s="135"/>
      <c r="BO243" s="135"/>
      <c r="BP243" s="135"/>
      <c r="BQ243" s="135"/>
      <c r="BR243" s="135"/>
      <c r="BS243" s="132" t="s">
        <v>1177</v>
      </c>
      <c r="BT243" s="133"/>
      <c r="BU243" s="133"/>
      <c r="BV243" s="133"/>
      <c r="BW243" s="133"/>
      <c r="BX243" s="133"/>
      <c r="IR243" s="46">
        <f t="shared" si="13"/>
        <v>0</v>
      </c>
      <c r="IS243" s="46">
        <f t="shared" si="14"/>
        <v>0</v>
      </c>
    </row>
    <row r="244" spans="1:253" ht="12.75">
      <c r="A244" s="132" t="s">
        <v>190</v>
      </c>
      <c r="B244" s="133"/>
      <c r="C244" s="132"/>
      <c r="D244" s="133"/>
      <c r="E244" s="133"/>
      <c r="F244" s="132" t="s">
        <v>563</v>
      </c>
      <c r="G244" s="133"/>
      <c r="H244" s="133"/>
      <c r="I244" s="133"/>
      <c r="J244" s="133"/>
      <c r="K244" s="133"/>
      <c r="L244" s="132" t="s">
        <v>959</v>
      </c>
      <c r="M244" s="133"/>
      <c r="N244" s="133"/>
      <c r="O244" s="133"/>
      <c r="P244" s="133"/>
      <c r="Q244" s="133"/>
      <c r="R244" s="133"/>
      <c r="S244" s="133"/>
      <c r="T244" s="133"/>
      <c r="U244" s="133"/>
      <c r="V244" s="133"/>
      <c r="W244" s="133"/>
      <c r="X244" s="133"/>
      <c r="Y244" s="133"/>
      <c r="Z244" s="133"/>
      <c r="AA244" s="133"/>
      <c r="AB244" s="133"/>
      <c r="AC244" s="133"/>
      <c r="AD244" s="133"/>
      <c r="AE244" s="133"/>
      <c r="AF244" s="133"/>
      <c r="AG244" s="133"/>
      <c r="AH244" s="133"/>
      <c r="AI244" s="133"/>
      <c r="AJ244" s="133"/>
      <c r="AK244" s="133"/>
      <c r="AL244" s="133"/>
      <c r="AM244" s="133"/>
      <c r="AN244" s="133"/>
      <c r="AO244" s="133"/>
      <c r="AP244" s="133"/>
      <c r="AQ244" s="133"/>
      <c r="AR244" s="133"/>
      <c r="AS244" s="133"/>
      <c r="AT244" s="133"/>
      <c r="AU244" s="133"/>
      <c r="AV244" s="132" t="s">
        <v>1154</v>
      </c>
      <c r="AW244" s="133"/>
      <c r="AX244" s="134">
        <f>'Stavební rozpočet'!F245</f>
        <v>60</v>
      </c>
      <c r="AY244" s="135"/>
      <c r="AZ244" s="135"/>
      <c r="BA244" s="135"/>
      <c r="BB244" s="135"/>
      <c r="BC244" s="134">
        <f>'Stavební rozpočet'!G245</f>
        <v>0</v>
      </c>
      <c r="BD244" s="135"/>
      <c r="BE244" s="135"/>
      <c r="BF244" s="135"/>
      <c r="BG244" s="135"/>
      <c r="BH244" s="135"/>
      <c r="BI244" s="135"/>
      <c r="BJ244" s="135"/>
      <c r="BK244" s="134">
        <f t="shared" si="12"/>
        <v>0</v>
      </c>
      <c r="BL244" s="135"/>
      <c r="BM244" s="135"/>
      <c r="BN244" s="135"/>
      <c r="BO244" s="135"/>
      <c r="BP244" s="135"/>
      <c r="BQ244" s="135"/>
      <c r="BR244" s="135"/>
      <c r="BS244" s="132" t="s">
        <v>1177</v>
      </c>
      <c r="BT244" s="133"/>
      <c r="BU244" s="133"/>
      <c r="BV244" s="133"/>
      <c r="BW244" s="133"/>
      <c r="BX244" s="133"/>
      <c r="IR244" s="46">
        <f t="shared" si="13"/>
        <v>0</v>
      </c>
      <c r="IS244" s="46">
        <f t="shared" si="14"/>
        <v>0</v>
      </c>
    </row>
    <row r="245" spans="1:253" ht="12.75">
      <c r="A245" s="132" t="s">
        <v>191</v>
      </c>
      <c r="B245" s="133"/>
      <c r="C245" s="132"/>
      <c r="D245" s="133"/>
      <c r="E245" s="133"/>
      <c r="F245" s="132" t="s">
        <v>564</v>
      </c>
      <c r="G245" s="133"/>
      <c r="H245" s="133"/>
      <c r="I245" s="133"/>
      <c r="J245" s="133"/>
      <c r="K245" s="133"/>
      <c r="L245" s="132" t="s">
        <v>960</v>
      </c>
      <c r="M245" s="133"/>
      <c r="N245" s="133"/>
      <c r="O245" s="133"/>
      <c r="P245" s="133"/>
      <c r="Q245" s="133"/>
      <c r="R245" s="133"/>
      <c r="S245" s="133"/>
      <c r="T245" s="133"/>
      <c r="U245" s="133"/>
      <c r="V245" s="133"/>
      <c r="W245" s="133"/>
      <c r="X245" s="133"/>
      <c r="Y245" s="133"/>
      <c r="Z245" s="133"/>
      <c r="AA245" s="133"/>
      <c r="AB245" s="133"/>
      <c r="AC245" s="133"/>
      <c r="AD245" s="133"/>
      <c r="AE245" s="133"/>
      <c r="AF245" s="133"/>
      <c r="AG245" s="133"/>
      <c r="AH245" s="133"/>
      <c r="AI245" s="133"/>
      <c r="AJ245" s="133"/>
      <c r="AK245" s="133"/>
      <c r="AL245" s="133"/>
      <c r="AM245" s="133"/>
      <c r="AN245" s="133"/>
      <c r="AO245" s="133"/>
      <c r="AP245" s="133"/>
      <c r="AQ245" s="133"/>
      <c r="AR245" s="133"/>
      <c r="AS245" s="133"/>
      <c r="AT245" s="133"/>
      <c r="AU245" s="133"/>
      <c r="AV245" s="132" t="s">
        <v>1154</v>
      </c>
      <c r="AW245" s="133"/>
      <c r="AX245" s="134">
        <f>'Stavební rozpočet'!F246</f>
        <v>60</v>
      </c>
      <c r="AY245" s="135"/>
      <c r="AZ245" s="135"/>
      <c r="BA245" s="135"/>
      <c r="BB245" s="135"/>
      <c r="BC245" s="134">
        <f>'Stavební rozpočet'!G246</f>
        <v>0</v>
      </c>
      <c r="BD245" s="135"/>
      <c r="BE245" s="135"/>
      <c r="BF245" s="135"/>
      <c r="BG245" s="135"/>
      <c r="BH245" s="135"/>
      <c r="BI245" s="135"/>
      <c r="BJ245" s="135"/>
      <c r="BK245" s="134">
        <f t="shared" si="12"/>
        <v>0</v>
      </c>
      <c r="BL245" s="135"/>
      <c r="BM245" s="135"/>
      <c r="BN245" s="135"/>
      <c r="BO245" s="135"/>
      <c r="BP245" s="135"/>
      <c r="BQ245" s="135"/>
      <c r="BR245" s="135"/>
      <c r="BS245" s="132" t="s">
        <v>1177</v>
      </c>
      <c r="BT245" s="133"/>
      <c r="BU245" s="133"/>
      <c r="BV245" s="133"/>
      <c r="BW245" s="133"/>
      <c r="BX245" s="133"/>
      <c r="IR245" s="46">
        <f t="shared" si="13"/>
        <v>0</v>
      </c>
      <c r="IS245" s="46">
        <f t="shared" si="14"/>
        <v>0</v>
      </c>
    </row>
    <row r="246" spans="1:253" ht="12.75">
      <c r="A246" s="132" t="s">
        <v>192</v>
      </c>
      <c r="B246" s="133"/>
      <c r="C246" s="132"/>
      <c r="D246" s="133"/>
      <c r="E246" s="133"/>
      <c r="F246" s="132" t="s">
        <v>565</v>
      </c>
      <c r="G246" s="133"/>
      <c r="H246" s="133"/>
      <c r="I246" s="133"/>
      <c r="J246" s="133"/>
      <c r="K246" s="133"/>
      <c r="L246" s="132" t="s">
        <v>961</v>
      </c>
      <c r="M246" s="133"/>
      <c r="N246" s="133"/>
      <c r="O246" s="133"/>
      <c r="P246" s="133"/>
      <c r="Q246" s="133"/>
      <c r="R246" s="133"/>
      <c r="S246" s="133"/>
      <c r="T246" s="133"/>
      <c r="U246" s="133"/>
      <c r="V246" s="133"/>
      <c r="W246" s="133"/>
      <c r="X246" s="133"/>
      <c r="Y246" s="133"/>
      <c r="Z246" s="133"/>
      <c r="AA246" s="133"/>
      <c r="AB246" s="133"/>
      <c r="AC246" s="133"/>
      <c r="AD246" s="133"/>
      <c r="AE246" s="133"/>
      <c r="AF246" s="133"/>
      <c r="AG246" s="133"/>
      <c r="AH246" s="133"/>
      <c r="AI246" s="133"/>
      <c r="AJ246" s="133"/>
      <c r="AK246" s="133"/>
      <c r="AL246" s="133"/>
      <c r="AM246" s="133"/>
      <c r="AN246" s="133"/>
      <c r="AO246" s="133"/>
      <c r="AP246" s="133"/>
      <c r="AQ246" s="133"/>
      <c r="AR246" s="133"/>
      <c r="AS246" s="133"/>
      <c r="AT246" s="133"/>
      <c r="AU246" s="133"/>
      <c r="AV246" s="132" t="s">
        <v>1154</v>
      </c>
      <c r="AW246" s="133"/>
      <c r="AX246" s="134">
        <f>'Stavební rozpočet'!F247</f>
        <v>40</v>
      </c>
      <c r="AY246" s="135"/>
      <c r="AZ246" s="135"/>
      <c r="BA246" s="135"/>
      <c r="BB246" s="135"/>
      <c r="BC246" s="134">
        <f>'Stavební rozpočet'!G247</f>
        <v>0</v>
      </c>
      <c r="BD246" s="135"/>
      <c r="BE246" s="135"/>
      <c r="BF246" s="135"/>
      <c r="BG246" s="135"/>
      <c r="BH246" s="135"/>
      <c r="BI246" s="135"/>
      <c r="BJ246" s="135"/>
      <c r="BK246" s="134">
        <f t="shared" si="12"/>
        <v>0</v>
      </c>
      <c r="BL246" s="135"/>
      <c r="BM246" s="135"/>
      <c r="BN246" s="135"/>
      <c r="BO246" s="135"/>
      <c r="BP246" s="135"/>
      <c r="BQ246" s="135"/>
      <c r="BR246" s="135"/>
      <c r="BS246" s="132" t="s">
        <v>1177</v>
      </c>
      <c r="BT246" s="133"/>
      <c r="BU246" s="133"/>
      <c r="BV246" s="133"/>
      <c r="BW246" s="133"/>
      <c r="BX246" s="133"/>
      <c r="IR246" s="46">
        <f t="shared" si="13"/>
        <v>0</v>
      </c>
      <c r="IS246" s="46">
        <f t="shared" si="14"/>
        <v>0</v>
      </c>
    </row>
    <row r="247" spans="1:253" ht="12.75">
      <c r="A247" s="132" t="s">
        <v>193</v>
      </c>
      <c r="B247" s="133"/>
      <c r="C247" s="132"/>
      <c r="D247" s="133"/>
      <c r="E247" s="133"/>
      <c r="F247" s="132" t="s">
        <v>566</v>
      </c>
      <c r="G247" s="133"/>
      <c r="H247" s="133"/>
      <c r="I247" s="133"/>
      <c r="J247" s="133"/>
      <c r="K247" s="133"/>
      <c r="L247" s="132" t="s">
        <v>961</v>
      </c>
      <c r="M247" s="133"/>
      <c r="N247" s="133"/>
      <c r="O247" s="133"/>
      <c r="P247" s="133"/>
      <c r="Q247" s="133"/>
      <c r="R247" s="133"/>
      <c r="S247" s="133"/>
      <c r="T247" s="133"/>
      <c r="U247" s="133"/>
      <c r="V247" s="133"/>
      <c r="W247" s="133"/>
      <c r="X247" s="133"/>
      <c r="Y247" s="133"/>
      <c r="Z247" s="133"/>
      <c r="AA247" s="133"/>
      <c r="AB247" s="133"/>
      <c r="AC247" s="133"/>
      <c r="AD247" s="133"/>
      <c r="AE247" s="133"/>
      <c r="AF247" s="133"/>
      <c r="AG247" s="133"/>
      <c r="AH247" s="133"/>
      <c r="AI247" s="133"/>
      <c r="AJ247" s="133"/>
      <c r="AK247" s="133"/>
      <c r="AL247" s="133"/>
      <c r="AM247" s="133"/>
      <c r="AN247" s="133"/>
      <c r="AO247" s="133"/>
      <c r="AP247" s="133"/>
      <c r="AQ247" s="133"/>
      <c r="AR247" s="133"/>
      <c r="AS247" s="133"/>
      <c r="AT247" s="133"/>
      <c r="AU247" s="133"/>
      <c r="AV247" s="132" t="s">
        <v>1154</v>
      </c>
      <c r="AW247" s="133"/>
      <c r="AX247" s="134">
        <f>'Stavební rozpočet'!F248</f>
        <v>40</v>
      </c>
      <c r="AY247" s="135"/>
      <c r="AZ247" s="135"/>
      <c r="BA247" s="135"/>
      <c r="BB247" s="135"/>
      <c r="BC247" s="134">
        <f>'Stavební rozpočet'!G248</f>
        <v>0</v>
      </c>
      <c r="BD247" s="135"/>
      <c r="BE247" s="135"/>
      <c r="BF247" s="135"/>
      <c r="BG247" s="135"/>
      <c r="BH247" s="135"/>
      <c r="BI247" s="135"/>
      <c r="BJ247" s="135"/>
      <c r="BK247" s="134">
        <f t="shared" si="12"/>
        <v>0</v>
      </c>
      <c r="BL247" s="135"/>
      <c r="BM247" s="135"/>
      <c r="BN247" s="135"/>
      <c r="BO247" s="135"/>
      <c r="BP247" s="135"/>
      <c r="BQ247" s="135"/>
      <c r="BR247" s="135"/>
      <c r="BS247" s="132" t="s">
        <v>1177</v>
      </c>
      <c r="BT247" s="133"/>
      <c r="BU247" s="133"/>
      <c r="BV247" s="133"/>
      <c r="BW247" s="133"/>
      <c r="BX247" s="133"/>
      <c r="IR247" s="46">
        <f t="shared" si="13"/>
        <v>0</v>
      </c>
      <c r="IS247" s="46">
        <f t="shared" si="14"/>
        <v>0</v>
      </c>
    </row>
    <row r="248" spans="1:253" ht="12.75">
      <c r="A248" s="132" t="s">
        <v>194</v>
      </c>
      <c r="B248" s="133"/>
      <c r="C248" s="132"/>
      <c r="D248" s="133"/>
      <c r="E248" s="133"/>
      <c r="F248" s="132" t="s">
        <v>567</v>
      </c>
      <c r="G248" s="133"/>
      <c r="H248" s="133"/>
      <c r="I248" s="133"/>
      <c r="J248" s="133"/>
      <c r="K248" s="133"/>
      <c r="L248" s="132" t="s">
        <v>962</v>
      </c>
      <c r="M248" s="133"/>
      <c r="N248" s="133"/>
      <c r="O248" s="133"/>
      <c r="P248" s="133"/>
      <c r="Q248" s="133"/>
      <c r="R248" s="133"/>
      <c r="S248" s="133"/>
      <c r="T248" s="133"/>
      <c r="U248" s="133"/>
      <c r="V248" s="133"/>
      <c r="W248" s="133"/>
      <c r="X248" s="133"/>
      <c r="Y248" s="133"/>
      <c r="Z248" s="133"/>
      <c r="AA248" s="133"/>
      <c r="AB248" s="133"/>
      <c r="AC248" s="133"/>
      <c r="AD248" s="133"/>
      <c r="AE248" s="133"/>
      <c r="AF248" s="133"/>
      <c r="AG248" s="133"/>
      <c r="AH248" s="133"/>
      <c r="AI248" s="133"/>
      <c r="AJ248" s="133"/>
      <c r="AK248" s="133"/>
      <c r="AL248" s="133"/>
      <c r="AM248" s="133"/>
      <c r="AN248" s="133"/>
      <c r="AO248" s="133"/>
      <c r="AP248" s="133"/>
      <c r="AQ248" s="133"/>
      <c r="AR248" s="133"/>
      <c r="AS248" s="133"/>
      <c r="AT248" s="133"/>
      <c r="AU248" s="133"/>
      <c r="AV248" s="132" t="s">
        <v>1157</v>
      </c>
      <c r="AW248" s="133"/>
      <c r="AX248" s="134">
        <f>'Stavební rozpočet'!F249</f>
        <v>24</v>
      </c>
      <c r="AY248" s="135"/>
      <c r="AZ248" s="135"/>
      <c r="BA248" s="135"/>
      <c r="BB248" s="135"/>
      <c r="BC248" s="134">
        <f>'Stavební rozpočet'!G249</f>
        <v>0</v>
      </c>
      <c r="BD248" s="135"/>
      <c r="BE248" s="135"/>
      <c r="BF248" s="135"/>
      <c r="BG248" s="135"/>
      <c r="BH248" s="135"/>
      <c r="BI248" s="135"/>
      <c r="BJ248" s="135"/>
      <c r="BK248" s="134">
        <f t="shared" si="12"/>
        <v>0</v>
      </c>
      <c r="BL248" s="135"/>
      <c r="BM248" s="135"/>
      <c r="BN248" s="135"/>
      <c r="BO248" s="135"/>
      <c r="BP248" s="135"/>
      <c r="BQ248" s="135"/>
      <c r="BR248" s="135"/>
      <c r="BS248" s="132" t="s">
        <v>1177</v>
      </c>
      <c r="BT248" s="133"/>
      <c r="BU248" s="133"/>
      <c r="BV248" s="133"/>
      <c r="BW248" s="133"/>
      <c r="BX248" s="133"/>
      <c r="IR248" s="46">
        <f t="shared" si="13"/>
        <v>0</v>
      </c>
      <c r="IS248" s="46">
        <f t="shared" si="14"/>
        <v>0</v>
      </c>
    </row>
    <row r="249" spans="1:253" ht="12.75">
      <c r="A249" s="132" t="s">
        <v>195</v>
      </c>
      <c r="B249" s="133"/>
      <c r="C249" s="132"/>
      <c r="D249" s="133"/>
      <c r="E249" s="133"/>
      <c r="F249" s="132" t="s">
        <v>568</v>
      </c>
      <c r="G249" s="133"/>
      <c r="H249" s="133"/>
      <c r="I249" s="133"/>
      <c r="J249" s="133"/>
      <c r="K249" s="133"/>
      <c r="L249" s="132" t="s">
        <v>963</v>
      </c>
      <c r="M249" s="133"/>
      <c r="N249" s="133"/>
      <c r="O249" s="133"/>
      <c r="P249" s="133"/>
      <c r="Q249" s="133"/>
      <c r="R249" s="133"/>
      <c r="S249" s="133"/>
      <c r="T249" s="133"/>
      <c r="U249" s="133"/>
      <c r="V249" s="133"/>
      <c r="W249" s="133"/>
      <c r="X249" s="133"/>
      <c r="Y249" s="133"/>
      <c r="Z249" s="133"/>
      <c r="AA249" s="133"/>
      <c r="AB249" s="133"/>
      <c r="AC249" s="133"/>
      <c r="AD249" s="133"/>
      <c r="AE249" s="133"/>
      <c r="AF249" s="133"/>
      <c r="AG249" s="133"/>
      <c r="AH249" s="133"/>
      <c r="AI249" s="133"/>
      <c r="AJ249" s="133"/>
      <c r="AK249" s="133"/>
      <c r="AL249" s="133"/>
      <c r="AM249" s="133"/>
      <c r="AN249" s="133"/>
      <c r="AO249" s="133"/>
      <c r="AP249" s="133"/>
      <c r="AQ249" s="133"/>
      <c r="AR249" s="133"/>
      <c r="AS249" s="133"/>
      <c r="AT249" s="133"/>
      <c r="AU249" s="133"/>
      <c r="AV249" s="132" t="s">
        <v>1153</v>
      </c>
      <c r="AW249" s="133"/>
      <c r="AX249" s="134">
        <f>'Stavební rozpočet'!F250</f>
        <v>9</v>
      </c>
      <c r="AY249" s="135"/>
      <c r="AZ249" s="135"/>
      <c r="BA249" s="135"/>
      <c r="BB249" s="135"/>
      <c r="BC249" s="134">
        <f>'Stavební rozpočet'!G250</f>
        <v>0</v>
      </c>
      <c r="BD249" s="135"/>
      <c r="BE249" s="135"/>
      <c r="BF249" s="135"/>
      <c r="BG249" s="135"/>
      <c r="BH249" s="135"/>
      <c r="BI249" s="135"/>
      <c r="BJ249" s="135"/>
      <c r="BK249" s="134">
        <f t="shared" si="12"/>
        <v>0</v>
      </c>
      <c r="BL249" s="135"/>
      <c r="BM249" s="135"/>
      <c r="BN249" s="135"/>
      <c r="BO249" s="135"/>
      <c r="BP249" s="135"/>
      <c r="BQ249" s="135"/>
      <c r="BR249" s="135"/>
      <c r="BS249" s="132" t="s">
        <v>1177</v>
      </c>
      <c r="BT249" s="133"/>
      <c r="BU249" s="133"/>
      <c r="BV249" s="133"/>
      <c r="BW249" s="133"/>
      <c r="BX249" s="133"/>
      <c r="IR249" s="46">
        <f t="shared" si="13"/>
        <v>0</v>
      </c>
      <c r="IS249" s="46">
        <f t="shared" si="14"/>
        <v>0</v>
      </c>
    </row>
    <row r="250" spans="1:253" ht="12.75">
      <c r="A250" s="132" t="s">
        <v>196</v>
      </c>
      <c r="B250" s="133"/>
      <c r="C250" s="132"/>
      <c r="D250" s="133"/>
      <c r="E250" s="133"/>
      <c r="F250" s="132" t="s">
        <v>569</v>
      </c>
      <c r="G250" s="133"/>
      <c r="H250" s="133"/>
      <c r="I250" s="133"/>
      <c r="J250" s="133"/>
      <c r="K250" s="133"/>
      <c r="L250" s="132" t="s">
        <v>964</v>
      </c>
      <c r="M250" s="133"/>
      <c r="N250" s="133"/>
      <c r="O250" s="133"/>
      <c r="P250" s="133"/>
      <c r="Q250" s="133"/>
      <c r="R250" s="133"/>
      <c r="S250" s="133"/>
      <c r="T250" s="133"/>
      <c r="U250" s="133"/>
      <c r="V250" s="133"/>
      <c r="W250" s="133"/>
      <c r="X250" s="133"/>
      <c r="Y250" s="133"/>
      <c r="Z250" s="133"/>
      <c r="AA250" s="133"/>
      <c r="AB250" s="133"/>
      <c r="AC250" s="133"/>
      <c r="AD250" s="133"/>
      <c r="AE250" s="133"/>
      <c r="AF250" s="133"/>
      <c r="AG250" s="133"/>
      <c r="AH250" s="133"/>
      <c r="AI250" s="133"/>
      <c r="AJ250" s="133"/>
      <c r="AK250" s="133"/>
      <c r="AL250" s="133"/>
      <c r="AM250" s="133"/>
      <c r="AN250" s="133"/>
      <c r="AO250" s="133"/>
      <c r="AP250" s="133"/>
      <c r="AQ250" s="133"/>
      <c r="AR250" s="133"/>
      <c r="AS250" s="133"/>
      <c r="AT250" s="133"/>
      <c r="AU250" s="133"/>
      <c r="AV250" s="132" t="s">
        <v>1153</v>
      </c>
      <c r="AW250" s="133"/>
      <c r="AX250" s="134">
        <f>'Stavební rozpočet'!F251</f>
        <v>1</v>
      </c>
      <c r="AY250" s="135"/>
      <c r="AZ250" s="135"/>
      <c r="BA250" s="135"/>
      <c r="BB250" s="135"/>
      <c r="BC250" s="134">
        <f>'Stavební rozpočet'!G251</f>
        <v>0</v>
      </c>
      <c r="BD250" s="135"/>
      <c r="BE250" s="135"/>
      <c r="BF250" s="135"/>
      <c r="BG250" s="135"/>
      <c r="BH250" s="135"/>
      <c r="BI250" s="135"/>
      <c r="BJ250" s="135"/>
      <c r="BK250" s="134">
        <f t="shared" si="12"/>
        <v>0</v>
      </c>
      <c r="BL250" s="135"/>
      <c r="BM250" s="135"/>
      <c r="BN250" s="135"/>
      <c r="BO250" s="135"/>
      <c r="BP250" s="135"/>
      <c r="BQ250" s="135"/>
      <c r="BR250" s="135"/>
      <c r="BS250" s="132" t="s">
        <v>1177</v>
      </c>
      <c r="BT250" s="133"/>
      <c r="BU250" s="133"/>
      <c r="BV250" s="133"/>
      <c r="BW250" s="133"/>
      <c r="BX250" s="133"/>
      <c r="IR250" s="46">
        <f t="shared" si="13"/>
        <v>0</v>
      </c>
      <c r="IS250" s="46">
        <f t="shared" si="14"/>
        <v>0</v>
      </c>
    </row>
    <row r="251" spans="1:253" ht="12.75">
      <c r="A251" s="132" t="s">
        <v>197</v>
      </c>
      <c r="B251" s="133"/>
      <c r="C251" s="132"/>
      <c r="D251" s="133"/>
      <c r="E251" s="133"/>
      <c r="F251" s="132" t="s">
        <v>570</v>
      </c>
      <c r="G251" s="133"/>
      <c r="H251" s="133"/>
      <c r="I251" s="133"/>
      <c r="J251" s="133"/>
      <c r="K251" s="133"/>
      <c r="L251" s="132" t="s">
        <v>965</v>
      </c>
      <c r="M251" s="133"/>
      <c r="N251" s="133"/>
      <c r="O251" s="133"/>
      <c r="P251" s="133"/>
      <c r="Q251" s="133"/>
      <c r="R251" s="133"/>
      <c r="S251" s="133"/>
      <c r="T251" s="133"/>
      <c r="U251" s="133"/>
      <c r="V251" s="133"/>
      <c r="W251" s="133"/>
      <c r="X251" s="133"/>
      <c r="Y251" s="133"/>
      <c r="Z251" s="133"/>
      <c r="AA251" s="133"/>
      <c r="AB251" s="133"/>
      <c r="AC251" s="133"/>
      <c r="AD251" s="133"/>
      <c r="AE251" s="133"/>
      <c r="AF251" s="133"/>
      <c r="AG251" s="133"/>
      <c r="AH251" s="133"/>
      <c r="AI251" s="133"/>
      <c r="AJ251" s="133"/>
      <c r="AK251" s="133"/>
      <c r="AL251" s="133"/>
      <c r="AM251" s="133"/>
      <c r="AN251" s="133"/>
      <c r="AO251" s="133"/>
      <c r="AP251" s="133"/>
      <c r="AQ251" s="133"/>
      <c r="AR251" s="133"/>
      <c r="AS251" s="133"/>
      <c r="AT251" s="133"/>
      <c r="AU251" s="133"/>
      <c r="AV251" s="132" t="s">
        <v>1153</v>
      </c>
      <c r="AW251" s="133"/>
      <c r="AX251" s="134">
        <f>'Stavební rozpočet'!F252</f>
        <v>2</v>
      </c>
      <c r="AY251" s="135"/>
      <c r="AZ251" s="135"/>
      <c r="BA251" s="135"/>
      <c r="BB251" s="135"/>
      <c r="BC251" s="134">
        <f>'Stavební rozpočet'!G252</f>
        <v>0</v>
      </c>
      <c r="BD251" s="135"/>
      <c r="BE251" s="135"/>
      <c r="BF251" s="135"/>
      <c r="BG251" s="135"/>
      <c r="BH251" s="135"/>
      <c r="BI251" s="135"/>
      <c r="BJ251" s="135"/>
      <c r="BK251" s="134">
        <f t="shared" si="12"/>
        <v>0</v>
      </c>
      <c r="BL251" s="135"/>
      <c r="BM251" s="135"/>
      <c r="BN251" s="135"/>
      <c r="BO251" s="135"/>
      <c r="BP251" s="135"/>
      <c r="BQ251" s="135"/>
      <c r="BR251" s="135"/>
      <c r="BS251" s="132" t="s">
        <v>1177</v>
      </c>
      <c r="BT251" s="133"/>
      <c r="BU251" s="133"/>
      <c r="BV251" s="133"/>
      <c r="BW251" s="133"/>
      <c r="BX251" s="133"/>
      <c r="IR251" s="46">
        <f t="shared" si="13"/>
        <v>0</v>
      </c>
      <c r="IS251" s="46">
        <f t="shared" si="14"/>
        <v>0</v>
      </c>
    </row>
    <row r="252" spans="1:253" ht="12.75">
      <c r="A252" s="143" t="s">
        <v>198</v>
      </c>
      <c r="B252" s="144"/>
      <c r="C252" s="143"/>
      <c r="D252" s="144"/>
      <c r="E252" s="144"/>
      <c r="F252" s="143" t="s">
        <v>571</v>
      </c>
      <c r="G252" s="144"/>
      <c r="H252" s="144"/>
      <c r="I252" s="144"/>
      <c r="J252" s="144"/>
      <c r="K252" s="144"/>
      <c r="L252" s="143" t="s">
        <v>966</v>
      </c>
      <c r="M252" s="144"/>
      <c r="N252" s="144"/>
      <c r="O252" s="144"/>
      <c r="P252" s="144"/>
      <c r="Q252" s="144"/>
      <c r="R252" s="144"/>
      <c r="S252" s="144"/>
      <c r="T252" s="144"/>
      <c r="U252" s="144"/>
      <c r="V252" s="144"/>
      <c r="W252" s="144"/>
      <c r="X252" s="144"/>
      <c r="Y252" s="144"/>
      <c r="Z252" s="144"/>
      <c r="AA252" s="144"/>
      <c r="AB252" s="144"/>
      <c r="AC252" s="144"/>
      <c r="AD252" s="144"/>
      <c r="AE252" s="144"/>
      <c r="AF252" s="144"/>
      <c r="AG252" s="144"/>
      <c r="AH252" s="144"/>
      <c r="AI252" s="144"/>
      <c r="AJ252" s="144"/>
      <c r="AK252" s="144"/>
      <c r="AL252" s="144"/>
      <c r="AM252" s="144"/>
      <c r="AN252" s="144"/>
      <c r="AO252" s="144"/>
      <c r="AP252" s="144"/>
      <c r="AQ252" s="144"/>
      <c r="AR252" s="144"/>
      <c r="AS252" s="144"/>
      <c r="AT252" s="144"/>
      <c r="AU252" s="144"/>
      <c r="AV252" s="143" t="s">
        <v>1153</v>
      </c>
      <c r="AW252" s="144"/>
      <c r="AX252" s="145">
        <f>'Stavební rozpočet'!F253</f>
        <v>12</v>
      </c>
      <c r="AY252" s="146"/>
      <c r="AZ252" s="146"/>
      <c r="BA252" s="146"/>
      <c r="BB252" s="146"/>
      <c r="BC252" s="145">
        <f>'Stavební rozpočet'!G253</f>
        <v>0</v>
      </c>
      <c r="BD252" s="146"/>
      <c r="BE252" s="146"/>
      <c r="BF252" s="146"/>
      <c r="BG252" s="146"/>
      <c r="BH252" s="146"/>
      <c r="BI252" s="146"/>
      <c r="BJ252" s="146"/>
      <c r="BK252" s="145">
        <f t="shared" si="12"/>
        <v>0</v>
      </c>
      <c r="BL252" s="146"/>
      <c r="BM252" s="146"/>
      <c r="BN252" s="146"/>
      <c r="BO252" s="146"/>
      <c r="BP252" s="146"/>
      <c r="BQ252" s="146"/>
      <c r="BR252" s="146"/>
      <c r="BS252" s="143" t="s">
        <v>1177</v>
      </c>
      <c r="BT252" s="144"/>
      <c r="BU252" s="144"/>
      <c r="BV252" s="144"/>
      <c r="BW252" s="144"/>
      <c r="BX252" s="144"/>
      <c r="IR252" s="47">
        <f>BC252*1</f>
        <v>0</v>
      </c>
      <c r="IS252" s="47">
        <f>BC252*(1-1)</f>
        <v>0</v>
      </c>
    </row>
    <row r="253" spans="1:253" ht="12.75">
      <c r="A253" s="132" t="s">
        <v>199</v>
      </c>
      <c r="B253" s="133"/>
      <c r="C253" s="132"/>
      <c r="D253" s="133"/>
      <c r="E253" s="133"/>
      <c r="F253" s="132" t="s">
        <v>572</v>
      </c>
      <c r="G253" s="133"/>
      <c r="H253" s="133"/>
      <c r="I253" s="133"/>
      <c r="J253" s="133"/>
      <c r="K253" s="133"/>
      <c r="L253" s="132" t="s">
        <v>967</v>
      </c>
      <c r="M253" s="133"/>
      <c r="N253" s="133"/>
      <c r="O253" s="133"/>
      <c r="P253" s="133"/>
      <c r="Q253" s="133"/>
      <c r="R253" s="133"/>
      <c r="S253" s="133"/>
      <c r="T253" s="133"/>
      <c r="U253" s="133"/>
      <c r="V253" s="133"/>
      <c r="W253" s="133"/>
      <c r="X253" s="133"/>
      <c r="Y253" s="133"/>
      <c r="Z253" s="133"/>
      <c r="AA253" s="133"/>
      <c r="AB253" s="133"/>
      <c r="AC253" s="133"/>
      <c r="AD253" s="133"/>
      <c r="AE253" s="133"/>
      <c r="AF253" s="133"/>
      <c r="AG253" s="133"/>
      <c r="AH253" s="133"/>
      <c r="AI253" s="133"/>
      <c r="AJ253" s="133"/>
      <c r="AK253" s="133"/>
      <c r="AL253" s="133"/>
      <c r="AM253" s="133"/>
      <c r="AN253" s="133"/>
      <c r="AO253" s="133"/>
      <c r="AP253" s="133"/>
      <c r="AQ253" s="133"/>
      <c r="AR253" s="133"/>
      <c r="AS253" s="133"/>
      <c r="AT253" s="133"/>
      <c r="AU253" s="133"/>
      <c r="AV253" s="132" t="s">
        <v>1153</v>
      </c>
      <c r="AW253" s="133"/>
      <c r="AX253" s="134">
        <f>'Stavební rozpočet'!F254</f>
        <v>2</v>
      </c>
      <c r="AY253" s="135"/>
      <c r="AZ253" s="135"/>
      <c r="BA253" s="135"/>
      <c r="BB253" s="135"/>
      <c r="BC253" s="134">
        <f>'Stavební rozpočet'!G254</f>
        <v>0</v>
      </c>
      <c r="BD253" s="135"/>
      <c r="BE253" s="135"/>
      <c r="BF253" s="135"/>
      <c r="BG253" s="135"/>
      <c r="BH253" s="135"/>
      <c r="BI253" s="135"/>
      <c r="BJ253" s="135"/>
      <c r="BK253" s="134">
        <f t="shared" si="12"/>
        <v>0</v>
      </c>
      <c r="BL253" s="135"/>
      <c r="BM253" s="135"/>
      <c r="BN253" s="135"/>
      <c r="BO253" s="135"/>
      <c r="BP253" s="135"/>
      <c r="BQ253" s="135"/>
      <c r="BR253" s="135"/>
      <c r="BS253" s="132" t="s">
        <v>1177</v>
      </c>
      <c r="BT253" s="133"/>
      <c r="BU253" s="133"/>
      <c r="BV253" s="133"/>
      <c r="BW253" s="133"/>
      <c r="BX253" s="133"/>
      <c r="IR253" s="46">
        <f aca="true" t="shared" si="15" ref="IR253:IR284">BC253*0</f>
        <v>0</v>
      </c>
      <c r="IS253" s="46">
        <f aca="true" t="shared" si="16" ref="IS253:IS284">BC253*(1-0)</f>
        <v>0</v>
      </c>
    </row>
    <row r="254" spans="1:253" ht="12.75">
      <c r="A254" s="132" t="s">
        <v>200</v>
      </c>
      <c r="B254" s="133"/>
      <c r="C254" s="132"/>
      <c r="D254" s="133"/>
      <c r="E254" s="133"/>
      <c r="F254" s="132" t="s">
        <v>573</v>
      </c>
      <c r="G254" s="133"/>
      <c r="H254" s="133"/>
      <c r="I254" s="133"/>
      <c r="J254" s="133"/>
      <c r="K254" s="133"/>
      <c r="L254" s="132" t="s">
        <v>968</v>
      </c>
      <c r="M254" s="133"/>
      <c r="N254" s="133"/>
      <c r="O254" s="133"/>
      <c r="P254" s="133"/>
      <c r="Q254" s="133"/>
      <c r="R254" s="133"/>
      <c r="S254" s="133"/>
      <c r="T254" s="133"/>
      <c r="U254" s="133"/>
      <c r="V254" s="133"/>
      <c r="W254" s="133"/>
      <c r="X254" s="133"/>
      <c r="Y254" s="133"/>
      <c r="Z254" s="133"/>
      <c r="AA254" s="133"/>
      <c r="AB254" s="133"/>
      <c r="AC254" s="133"/>
      <c r="AD254" s="133"/>
      <c r="AE254" s="133"/>
      <c r="AF254" s="133"/>
      <c r="AG254" s="133"/>
      <c r="AH254" s="133"/>
      <c r="AI254" s="133"/>
      <c r="AJ254" s="133"/>
      <c r="AK254" s="133"/>
      <c r="AL254" s="133"/>
      <c r="AM254" s="133"/>
      <c r="AN254" s="133"/>
      <c r="AO254" s="133"/>
      <c r="AP254" s="133"/>
      <c r="AQ254" s="133"/>
      <c r="AR254" s="133"/>
      <c r="AS254" s="133"/>
      <c r="AT254" s="133"/>
      <c r="AU254" s="133"/>
      <c r="AV254" s="132" t="s">
        <v>1153</v>
      </c>
      <c r="AW254" s="133"/>
      <c r="AX254" s="134">
        <f>'Stavební rozpočet'!F255</f>
        <v>2</v>
      </c>
      <c r="AY254" s="135"/>
      <c r="AZ254" s="135"/>
      <c r="BA254" s="135"/>
      <c r="BB254" s="135"/>
      <c r="BC254" s="134">
        <f>'Stavební rozpočet'!G255</f>
        <v>0</v>
      </c>
      <c r="BD254" s="135"/>
      <c r="BE254" s="135"/>
      <c r="BF254" s="135"/>
      <c r="BG254" s="135"/>
      <c r="BH254" s="135"/>
      <c r="BI254" s="135"/>
      <c r="BJ254" s="135"/>
      <c r="BK254" s="134">
        <f t="shared" si="12"/>
        <v>0</v>
      </c>
      <c r="BL254" s="135"/>
      <c r="BM254" s="135"/>
      <c r="BN254" s="135"/>
      <c r="BO254" s="135"/>
      <c r="BP254" s="135"/>
      <c r="BQ254" s="135"/>
      <c r="BR254" s="135"/>
      <c r="BS254" s="132" t="s">
        <v>1177</v>
      </c>
      <c r="BT254" s="133"/>
      <c r="BU254" s="133"/>
      <c r="BV254" s="133"/>
      <c r="BW254" s="133"/>
      <c r="BX254" s="133"/>
      <c r="IR254" s="46">
        <f t="shared" si="15"/>
        <v>0</v>
      </c>
      <c r="IS254" s="46">
        <f t="shared" si="16"/>
        <v>0</v>
      </c>
    </row>
    <row r="255" spans="1:253" ht="12.75">
      <c r="A255" s="132" t="s">
        <v>201</v>
      </c>
      <c r="B255" s="133"/>
      <c r="C255" s="132"/>
      <c r="D255" s="133"/>
      <c r="E255" s="133"/>
      <c r="F255" s="132" t="s">
        <v>574</v>
      </c>
      <c r="G255" s="133"/>
      <c r="H255" s="133"/>
      <c r="I255" s="133"/>
      <c r="J255" s="133"/>
      <c r="K255" s="133"/>
      <c r="L255" s="132" t="s">
        <v>969</v>
      </c>
      <c r="M255" s="133"/>
      <c r="N255" s="133"/>
      <c r="O255" s="133"/>
      <c r="P255" s="133"/>
      <c r="Q255" s="133"/>
      <c r="R255" s="133"/>
      <c r="S255" s="133"/>
      <c r="T255" s="133"/>
      <c r="U255" s="133"/>
      <c r="V255" s="133"/>
      <c r="W255" s="133"/>
      <c r="X255" s="133"/>
      <c r="Y255" s="133"/>
      <c r="Z255" s="133"/>
      <c r="AA255" s="133"/>
      <c r="AB255" s="133"/>
      <c r="AC255" s="133"/>
      <c r="AD255" s="133"/>
      <c r="AE255" s="133"/>
      <c r="AF255" s="133"/>
      <c r="AG255" s="133"/>
      <c r="AH255" s="133"/>
      <c r="AI255" s="133"/>
      <c r="AJ255" s="133"/>
      <c r="AK255" s="133"/>
      <c r="AL255" s="133"/>
      <c r="AM255" s="133"/>
      <c r="AN255" s="133"/>
      <c r="AO255" s="133"/>
      <c r="AP255" s="133"/>
      <c r="AQ255" s="133"/>
      <c r="AR255" s="133"/>
      <c r="AS255" s="133"/>
      <c r="AT255" s="133"/>
      <c r="AU255" s="133"/>
      <c r="AV255" s="132" t="s">
        <v>1154</v>
      </c>
      <c r="AW255" s="133"/>
      <c r="AX255" s="134">
        <f>'Stavební rozpočet'!F256</f>
        <v>10</v>
      </c>
      <c r="AY255" s="135"/>
      <c r="AZ255" s="135"/>
      <c r="BA255" s="135"/>
      <c r="BB255" s="135"/>
      <c r="BC255" s="134">
        <f>'Stavební rozpočet'!G256</f>
        <v>0</v>
      </c>
      <c r="BD255" s="135"/>
      <c r="BE255" s="135"/>
      <c r="BF255" s="135"/>
      <c r="BG255" s="135"/>
      <c r="BH255" s="135"/>
      <c r="BI255" s="135"/>
      <c r="BJ255" s="135"/>
      <c r="BK255" s="134">
        <f t="shared" si="12"/>
        <v>0</v>
      </c>
      <c r="BL255" s="135"/>
      <c r="BM255" s="135"/>
      <c r="BN255" s="135"/>
      <c r="BO255" s="135"/>
      <c r="BP255" s="135"/>
      <c r="BQ255" s="135"/>
      <c r="BR255" s="135"/>
      <c r="BS255" s="132" t="s">
        <v>1177</v>
      </c>
      <c r="BT255" s="133"/>
      <c r="BU255" s="133"/>
      <c r="BV255" s="133"/>
      <c r="BW255" s="133"/>
      <c r="BX255" s="133"/>
      <c r="IR255" s="46">
        <f t="shared" si="15"/>
        <v>0</v>
      </c>
      <c r="IS255" s="46">
        <f t="shared" si="16"/>
        <v>0</v>
      </c>
    </row>
    <row r="256" spans="1:253" ht="12.75">
      <c r="A256" s="132" t="s">
        <v>202</v>
      </c>
      <c r="B256" s="133"/>
      <c r="C256" s="132"/>
      <c r="D256" s="133"/>
      <c r="E256" s="133"/>
      <c r="F256" s="132" t="s">
        <v>575</v>
      </c>
      <c r="G256" s="133"/>
      <c r="H256" s="133"/>
      <c r="I256" s="133"/>
      <c r="J256" s="133"/>
      <c r="K256" s="133"/>
      <c r="L256" s="132" t="s">
        <v>970</v>
      </c>
      <c r="M256" s="133"/>
      <c r="N256" s="133"/>
      <c r="O256" s="133"/>
      <c r="P256" s="133"/>
      <c r="Q256" s="133"/>
      <c r="R256" s="133"/>
      <c r="S256" s="133"/>
      <c r="T256" s="133"/>
      <c r="U256" s="133"/>
      <c r="V256" s="133"/>
      <c r="W256" s="133"/>
      <c r="X256" s="133"/>
      <c r="Y256" s="133"/>
      <c r="Z256" s="133"/>
      <c r="AA256" s="133"/>
      <c r="AB256" s="133"/>
      <c r="AC256" s="133"/>
      <c r="AD256" s="133"/>
      <c r="AE256" s="133"/>
      <c r="AF256" s="133"/>
      <c r="AG256" s="133"/>
      <c r="AH256" s="133"/>
      <c r="AI256" s="133"/>
      <c r="AJ256" s="133"/>
      <c r="AK256" s="133"/>
      <c r="AL256" s="133"/>
      <c r="AM256" s="133"/>
      <c r="AN256" s="133"/>
      <c r="AO256" s="133"/>
      <c r="AP256" s="133"/>
      <c r="AQ256" s="133"/>
      <c r="AR256" s="133"/>
      <c r="AS256" s="133"/>
      <c r="AT256" s="133"/>
      <c r="AU256" s="133"/>
      <c r="AV256" s="132" t="s">
        <v>1154</v>
      </c>
      <c r="AW256" s="133"/>
      <c r="AX256" s="134">
        <f>'Stavební rozpočet'!F257</f>
        <v>10</v>
      </c>
      <c r="AY256" s="135"/>
      <c r="AZ256" s="135"/>
      <c r="BA256" s="135"/>
      <c r="BB256" s="135"/>
      <c r="BC256" s="134">
        <f>'Stavební rozpočet'!G257</f>
        <v>0</v>
      </c>
      <c r="BD256" s="135"/>
      <c r="BE256" s="135"/>
      <c r="BF256" s="135"/>
      <c r="BG256" s="135"/>
      <c r="BH256" s="135"/>
      <c r="BI256" s="135"/>
      <c r="BJ256" s="135"/>
      <c r="BK256" s="134">
        <f t="shared" si="12"/>
        <v>0</v>
      </c>
      <c r="BL256" s="135"/>
      <c r="BM256" s="135"/>
      <c r="BN256" s="135"/>
      <c r="BO256" s="135"/>
      <c r="BP256" s="135"/>
      <c r="BQ256" s="135"/>
      <c r="BR256" s="135"/>
      <c r="BS256" s="132" t="s">
        <v>1177</v>
      </c>
      <c r="BT256" s="133"/>
      <c r="BU256" s="133"/>
      <c r="BV256" s="133"/>
      <c r="BW256" s="133"/>
      <c r="BX256" s="133"/>
      <c r="IR256" s="46">
        <f t="shared" si="15"/>
        <v>0</v>
      </c>
      <c r="IS256" s="46">
        <f t="shared" si="16"/>
        <v>0</v>
      </c>
    </row>
    <row r="257" spans="1:253" ht="12.75">
      <c r="A257" s="132" t="s">
        <v>203</v>
      </c>
      <c r="B257" s="133"/>
      <c r="C257" s="132"/>
      <c r="D257" s="133"/>
      <c r="E257" s="133"/>
      <c r="F257" s="132" t="s">
        <v>576</v>
      </c>
      <c r="G257" s="133"/>
      <c r="H257" s="133"/>
      <c r="I257" s="133"/>
      <c r="J257" s="133"/>
      <c r="K257" s="133"/>
      <c r="L257" s="132" t="s">
        <v>971</v>
      </c>
      <c r="M257" s="133"/>
      <c r="N257" s="133"/>
      <c r="O257" s="133"/>
      <c r="P257" s="133"/>
      <c r="Q257" s="133"/>
      <c r="R257" s="133"/>
      <c r="S257" s="133"/>
      <c r="T257" s="133"/>
      <c r="U257" s="133"/>
      <c r="V257" s="133"/>
      <c r="W257" s="133"/>
      <c r="X257" s="133"/>
      <c r="Y257" s="133"/>
      <c r="Z257" s="133"/>
      <c r="AA257" s="133"/>
      <c r="AB257" s="133"/>
      <c r="AC257" s="133"/>
      <c r="AD257" s="133"/>
      <c r="AE257" s="133"/>
      <c r="AF257" s="133"/>
      <c r="AG257" s="133"/>
      <c r="AH257" s="133"/>
      <c r="AI257" s="133"/>
      <c r="AJ257" s="133"/>
      <c r="AK257" s="133"/>
      <c r="AL257" s="133"/>
      <c r="AM257" s="133"/>
      <c r="AN257" s="133"/>
      <c r="AO257" s="133"/>
      <c r="AP257" s="133"/>
      <c r="AQ257" s="133"/>
      <c r="AR257" s="133"/>
      <c r="AS257" s="133"/>
      <c r="AT257" s="133"/>
      <c r="AU257" s="133"/>
      <c r="AV257" s="132" t="s">
        <v>1154</v>
      </c>
      <c r="AW257" s="133"/>
      <c r="AX257" s="134">
        <f>'Stavební rozpočet'!F258</f>
        <v>4</v>
      </c>
      <c r="AY257" s="135"/>
      <c r="AZ257" s="135"/>
      <c r="BA257" s="135"/>
      <c r="BB257" s="135"/>
      <c r="BC257" s="134">
        <f>'Stavební rozpočet'!G258</f>
        <v>0</v>
      </c>
      <c r="BD257" s="135"/>
      <c r="BE257" s="135"/>
      <c r="BF257" s="135"/>
      <c r="BG257" s="135"/>
      <c r="BH257" s="135"/>
      <c r="BI257" s="135"/>
      <c r="BJ257" s="135"/>
      <c r="BK257" s="134">
        <f t="shared" si="12"/>
        <v>0</v>
      </c>
      <c r="BL257" s="135"/>
      <c r="BM257" s="135"/>
      <c r="BN257" s="135"/>
      <c r="BO257" s="135"/>
      <c r="BP257" s="135"/>
      <c r="BQ257" s="135"/>
      <c r="BR257" s="135"/>
      <c r="BS257" s="132" t="s">
        <v>1177</v>
      </c>
      <c r="BT257" s="133"/>
      <c r="BU257" s="133"/>
      <c r="BV257" s="133"/>
      <c r="BW257" s="133"/>
      <c r="BX257" s="133"/>
      <c r="IR257" s="46">
        <f t="shared" si="15"/>
        <v>0</v>
      </c>
      <c r="IS257" s="46">
        <f t="shared" si="16"/>
        <v>0</v>
      </c>
    </row>
    <row r="258" spans="1:253" ht="12.75">
      <c r="A258" s="132" t="s">
        <v>204</v>
      </c>
      <c r="B258" s="133"/>
      <c r="C258" s="132"/>
      <c r="D258" s="133"/>
      <c r="E258" s="133"/>
      <c r="F258" s="132" t="s">
        <v>577</v>
      </c>
      <c r="G258" s="133"/>
      <c r="H258" s="133"/>
      <c r="I258" s="133"/>
      <c r="J258" s="133"/>
      <c r="K258" s="133"/>
      <c r="L258" s="132" t="s">
        <v>972</v>
      </c>
      <c r="M258" s="133"/>
      <c r="N258" s="133"/>
      <c r="O258" s="133"/>
      <c r="P258" s="133"/>
      <c r="Q258" s="133"/>
      <c r="R258" s="133"/>
      <c r="S258" s="133"/>
      <c r="T258" s="133"/>
      <c r="U258" s="133"/>
      <c r="V258" s="133"/>
      <c r="W258" s="133"/>
      <c r="X258" s="133"/>
      <c r="Y258" s="133"/>
      <c r="Z258" s="133"/>
      <c r="AA258" s="133"/>
      <c r="AB258" s="133"/>
      <c r="AC258" s="133"/>
      <c r="AD258" s="133"/>
      <c r="AE258" s="133"/>
      <c r="AF258" s="133"/>
      <c r="AG258" s="133"/>
      <c r="AH258" s="133"/>
      <c r="AI258" s="133"/>
      <c r="AJ258" s="133"/>
      <c r="AK258" s="133"/>
      <c r="AL258" s="133"/>
      <c r="AM258" s="133"/>
      <c r="AN258" s="133"/>
      <c r="AO258" s="133"/>
      <c r="AP258" s="133"/>
      <c r="AQ258" s="133"/>
      <c r="AR258" s="133"/>
      <c r="AS258" s="133"/>
      <c r="AT258" s="133"/>
      <c r="AU258" s="133"/>
      <c r="AV258" s="132" t="s">
        <v>1154</v>
      </c>
      <c r="AW258" s="133"/>
      <c r="AX258" s="134">
        <f>'Stavební rozpočet'!F259</f>
        <v>4</v>
      </c>
      <c r="AY258" s="135"/>
      <c r="AZ258" s="135"/>
      <c r="BA258" s="135"/>
      <c r="BB258" s="135"/>
      <c r="BC258" s="134">
        <f>'Stavební rozpočet'!G259</f>
        <v>0</v>
      </c>
      <c r="BD258" s="135"/>
      <c r="BE258" s="135"/>
      <c r="BF258" s="135"/>
      <c r="BG258" s="135"/>
      <c r="BH258" s="135"/>
      <c r="BI258" s="135"/>
      <c r="BJ258" s="135"/>
      <c r="BK258" s="134">
        <f t="shared" si="12"/>
        <v>0</v>
      </c>
      <c r="BL258" s="135"/>
      <c r="BM258" s="135"/>
      <c r="BN258" s="135"/>
      <c r="BO258" s="135"/>
      <c r="BP258" s="135"/>
      <c r="BQ258" s="135"/>
      <c r="BR258" s="135"/>
      <c r="BS258" s="132" t="s">
        <v>1177</v>
      </c>
      <c r="BT258" s="133"/>
      <c r="BU258" s="133"/>
      <c r="BV258" s="133"/>
      <c r="BW258" s="133"/>
      <c r="BX258" s="133"/>
      <c r="IR258" s="46">
        <f t="shared" si="15"/>
        <v>0</v>
      </c>
      <c r="IS258" s="46">
        <f t="shared" si="16"/>
        <v>0</v>
      </c>
    </row>
    <row r="259" spans="1:253" ht="12.75">
      <c r="A259" s="132" t="s">
        <v>205</v>
      </c>
      <c r="B259" s="133"/>
      <c r="C259" s="132"/>
      <c r="D259" s="133"/>
      <c r="E259" s="133"/>
      <c r="F259" s="132" t="s">
        <v>578</v>
      </c>
      <c r="G259" s="133"/>
      <c r="H259" s="133"/>
      <c r="I259" s="133"/>
      <c r="J259" s="133"/>
      <c r="K259" s="133"/>
      <c r="L259" s="132" t="s">
        <v>973</v>
      </c>
      <c r="M259" s="133"/>
      <c r="N259" s="133"/>
      <c r="O259" s="133"/>
      <c r="P259" s="133"/>
      <c r="Q259" s="133"/>
      <c r="R259" s="133"/>
      <c r="S259" s="133"/>
      <c r="T259" s="133"/>
      <c r="U259" s="133"/>
      <c r="V259" s="133"/>
      <c r="W259" s="133"/>
      <c r="X259" s="133"/>
      <c r="Y259" s="133"/>
      <c r="Z259" s="133"/>
      <c r="AA259" s="133"/>
      <c r="AB259" s="133"/>
      <c r="AC259" s="133"/>
      <c r="AD259" s="133"/>
      <c r="AE259" s="133"/>
      <c r="AF259" s="133"/>
      <c r="AG259" s="133"/>
      <c r="AH259" s="133"/>
      <c r="AI259" s="133"/>
      <c r="AJ259" s="133"/>
      <c r="AK259" s="133"/>
      <c r="AL259" s="133"/>
      <c r="AM259" s="133"/>
      <c r="AN259" s="133"/>
      <c r="AO259" s="133"/>
      <c r="AP259" s="133"/>
      <c r="AQ259" s="133"/>
      <c r="AR259" s="133"/>
      <c r="AS259" s="133"/>
      <c r="AT259" s="133"/>
      <c r="AU259" s="133"/>
      <c r="AV259" s="132" t="s">
        <v>1154</v>
      </c>
      <c r="AW259" s="133"/>
      <c r="AX259" s="134">
        <f>'Stavební rozpočet'!F260</f>
        <v>6</v>
      </c>
      <c r="AY259" s="135"/>
      <c r="AZ259" s="135"/>
      <c r="BA259" s="135"/>
      <c r="BB259" s="135"/>
      <c r="BC259" s="134">
        <f>'Stavební rozpočet'!G260</f>
        <v>0</v>
      </c>
      <c r="BD259" s="135"/>
      <c r="BE259" s="135"/>
      <c r="BF259" s="135"/>
      <c r="BG259" s="135"/>
      <c r="BH259" s="135"/>
      <c r="BI259" s="135"/>
      <c r="BJ259" s="135"/>
      <c r="BK259" s="134">
        <f t="shared" si="12"/>
        <v>0</v>
      </c>
      <c r="BL259" s="135"/>
      <c r="BM259" s="135"/>
      <c r="BN259" s="135"/>
      <c r="BO259" s="135"/>
      <c r="BP259" s="135"/>
      <c r="BQ259" s="135"/>
      <c r="BR259" s="135"/>
      <c r="BS259" s="132" t="s">
        <v>1177</v>
      </c>
      <c r="BT259" s="133"/>
      <c r="BU259" s="133"/>
      <c r="BV259" s="133"/>
      <c r="BW259" s="133"/>
      <c r="BX259" s="133"/>
      <c r="IR259" s="46">
        <f t="shared" si="15"/>
        <v>0</v>
      </c>
      <c r="IS259" s="46">
        <f t="shared" si="16"/>
        <v>0</v>
      </c>
    </row>
    <row r="260" spans="1:253" ht="12.75">
      <c r="A260" s="132" t="s">
        <v>206</v>
      </c>
      <c r="B260" s="133"/>
      <c r="C260" s="132"/>
      <c r="D260" s="133"/>
      <c r="E260" s="133"/>
      <c r="F260" s="132" t="s">
        <v>579</v>
      </c>
      <c r="G260" s="133"/>
      <c r="H260" s="133"/>
      <c r="I260" s="133"/>
      <c r="J260" s="133"/>
      <c r="K260" s="133"/>
      <c r="L260" s="132" t="s">
        <v>973</v>
      </c>
      <c r="M260" s="133"/>
      <c r="N260" s="133"/>
      <c r="O260" s="133"/>
      <c r="P260" s="133"/>
      <c r="Q260" s="133"/>
      <c r="R260" s="133"/>
      <c r="S260" s="133"/>
      <c r="T260" s="133"/>
      <c r="U260" s="133"/>
      <c r="V260" s="133"/>
      <c r="W260" s="133"/>
      <c r="X260" s="133"/>
      <c r="Y260" s="133"/>
      <c r="Z260" s="133"/>
      <c r="AA260" s="133"/>
      <c r="AB260" s="133"/>
      <c r="AC260" s="133"/>
      <c r="AD260" s="133"/>
      <c r="AE260" s="133"/>
      <c r="AF260" s="133"/>
      <c r="AG260" s="133"/>
      <c r="AH260" s="133"/>
      <c r="AI260" s="133"/>
      <c r="AJ260" s="133"/>
      <c r="AK260" s="133"/>
      <c r="AL260" s="133"/>
      <c r="AM260" s="133"/>
      <c r="AN260" s="133"/>
      <c r="AO260" s="133"/>
      <c r="AP260" s="133"/>
      <c r="AQ260" s="133"/>
      <c r="AR260" s="133"/>
      <c r="AS260" s="133"/>
      <c r="AT260" s="133"/>
      <c r="AU260" s="133"/>
      <c r="AV260" s="132" t="s">
        <v>1154</v>
      </c>
      <c r="AW260" s="133"/>
      <c r="AX260" s="134">
        <f>'Stavební rozpočet'!F261</f>
        <v>6</v>
      </c>
      <c r="AY260" s="135"/>
      <c r="AZ260" s="135"/>
      <c r="BA260" s="135"/>
      <c r="BB260" s="135"/>
      <c r="BC260" s="134">
        <f>'Stavební rozpočet'!G261</f>
        <v>0</v>
      </c>
      <c r="BD260" s="135"/>
      <c r="BE260" s="135"/>
      <c r="BF260" s="135"/>
      <c r="BG260" s="135"/>
      <c r="BH260" s="135"/>
      <c r="BI260" s="135"/>
      <c r="BJ260" s="135"/>
      <c r="BK260" s="134">
        <f t="shared" si="12"/>
        <v>0</v>
      </c>
      <c r="BL260" s="135"/>
      <c r="BM260" s="135"/>
      <c r="BN260" s="135"/>
      <c r="BO260" s="135"/>
      <c r="BP260" s="135"/>
      <c r="BQ260" s="135"/>
      <c r="BR260" s="135"/>
      <c r="BS260" s="132" t="s">
        <v>1177</v>
      </c>
      <c r="BT260" s="133"/>
      <c r="BU260" s="133"/>
      <c r="BV260" s="133"/>
      <c r="BW260" s="133"/>
      <c r="BX260" s="133"/>
      <c r="IR260" s="46">
        <f t="shared" si="15"/>
        <v>0</v>
      </c>
      <c r="IS260" s="46">
        <f t="shared" si="16"/>
        <v>0</v>
      </c>
    </row>
    <row r="261" spans="1:253" ht="12.75">
      <c r="A261" s="132" t="s">
        <v>207</v>
      </c>
      <c r="B261" s="133"/>
      <c r="C261" s="132"/>
      <c r="D261" s="133"/>
      <c r="E261" s="133"/>
      <c r="F261" s="132" t="s">
        <v>580</v>
      </c>
      <c r="G261" s="133"/>
      <c r="H261" s="133"/>
      <c r="I261" s="133"/>
      <c r="J261" s="133"/>
      <c r="K261" s="133"/>
      <c r="L261" s="132" t="s">
        <v>974</v>
      </c>
      <c r="M261" s="133"/>
      <c r="N261" s="133"/>
      <c r="O261" s="133"/>
      <c r="P261" s="133"/>
      <c r="Q261" s="133"/>
      <c r="R261" s="133"/>
      <c r="S261" s="133"/>
      <c r="T261" s="133"/>
      <c r="U261" s="133"/>
      <c r="V261" s="133"/>
      <c r="W261" s="133"/>
      <c r="X261" s="133"/>
      <c r="Y261" s="133"/>
      <c r="Z261" s="133"/>
      <c r="AA261" s="133"/>
      <c r="AB261" s="133"/>
      <c r="AC261" s="133"/>
      <c r="AD261" s="133"/>
      <c r="AE261" s="133"/>
      <c r="AF261" s="133"/>
      <c r="AG261" s="133"/>
      <c r="AH261" s="133"/>
      <c r="AI261" s="133"/>
      <c r="AJ261" s="133"/>
      <c r="AK261" s="133"/>
      <c r="AL261" s="133"/>
      <c r="AM261" s="133"/>
      <c r="AN261" s="133"/>
      <c r="AO261" s="133"/>
      <c r="AP261" s="133"/>
      <c r="AQ261" s="133"/>
      <c r="AR261" s="133"/>
      <c r="AS261" s="133"/>
      <c r="AT261" s="133"/>
      <c r="AU261" s="133"/>
      <c r="AV261" s="132" t="s">
        <v>1154</v>
      </c>
      <c r="AW261" s="133"/>
      <c r="AX261" s="134">
        <f>'Stavební rozpočet'!F262</f>
        <v>70</v>
      </c>
      <c r="AY261" s="135"/>
      <c r="AZ261" s="135"/>
      <c r="BA261" s="135"/>
      <c r="BB261" s="135"/>
      <c r="BC261" s="134">
        <f>'Stavební rozpočet'!G262</f>
        <v>0</v>
      </c>
      <c r="BD261" s="135"/>
      <c r="BE261" s="135"/>
      <c r="BF261" s="135"/>
      <c r="BG261" s="135"/>
      <c r="BH261" s="135"/>
      <c r="BI261" s="135"/>
      <c r="BJ261" s="135"/>
      <c r="BK261" s="134">
        <f t="shared" si="12"/>
        <v>0</v>
      </c>
      <c r="BL261" s="135"/>
      <c r="BM261" s="135"/>
      <c r="BN261" s="135"/>
      <c r="BO261" s="135"/>
      <c r="BP261" s="135"/>
      <c r="BQ261" s="135"/>
      <c r="BR261" s="135"/>
      <c r="BS261" s="132" t="s">
        <v>1177</v>
      </c>
      <c r="BT261" s="133"/>
      <c r="BU261" s="133"/>
      <c r="BV261" s="133"/>
      <c r="BW261" s="133"/>
      <c r="BX261" s="133"/>
      <c r="IR261" s="46">
        <f t="shared" si="15"/>
        <v>0</v>
      </c>
      <c r="IS261" s="46">
        <f t="shared" si="16"/>
        <v>0</v>
      </c>
    </row>
    <row r="262" spans="1:253" ht="12.75">
      <c r="A262" s="132" t="s">
        <v>208</v>
      </c>
      <c r="B262" s="133"/>
      <c r="C262" s="132"/>
      <c r="D262" s="133"/>
      <c r="E262" s="133"/>
      <c r="F262" s="132" t="s">
        <v>581</v>
      </c>
      <c r="G262" s="133"/>
      <c r="H262" s="133"/>
      <c r="I262" s="133"/>
      <c r="J262" s="133"/>
      <c r="K262" s="133"/>
      <c r="L262" s="132" t="s">
        <v>975</v>
      </c>
      <c r="M262" s="133"/>
      <c r="N262" s="133"/>
      <c r="O262" s="133"/>
      <c r="P262" s="133"/>
      <c r="Q262" s="133"/>
      <c r="R262" s="133"/>
      <c r="S262" s="133"/>
      <c r="T262" s="133"/>
      <c r="U262" s="133"/>
      <c r="V262" s="133"/>
      <c r="W262" s="133"/>
      <c r="X262" s="133"/>
      <c r="Y262" s="133"/>
      <c r="Z262" s="133"/>
      <c r="AA262" s="133"/>
      <c r="AB262" s="133"/>
      <c r="AC262" s="133"/>
      <c r="AD262" s="133"/>
      <c r="AE262" s="133"/>
      <c r="AF262" s="133"/>
      <c r="AG262" s="133"/>
      <c r="AH262" s="133"/>
      <c r="AI262" s="133"/>
      <c r="AJ262" s="133"/>
      <c r="AK262" s="133"/>
      <c r="AL262" s="133"/>
      <c r="AM262" s="133"/>
      <c r="AN262" s="133"/>
      <c r="AO262" s="133"/>
      <c r="AP262" s="133"/>
      <c r="AQ262" s="133"/>
      <c r="AR262" s="133"/>
      <c r="AS262" s="133"/>
      <c r="AT262" s="133"/>
      <c r="AU262" s="133"/>
      <c r="AV262" s="132" t="s">
        <v>1154</v>
      </c>
      <c r="AW262" s="133"/>
      <c r="AX262" s="134">
        <f>'Stavební rozpočet'!F263</f>
        <v>30</v>
      </c>
      <c r="AY262" s="135"/>
      <c r="AZ262" s="135"/>
      <c r="BA262" s="135"/>
      <c r="BB262" s="135"/>
      <c r="BC262" s="134">
        <f>'Stavební rozpočet'!G263</f>
        <v>0</v>
      </c>
      <c r="BD262" s="135"/>
      <c r="BE262" s="135"/>
      <c r="BF262" s="135"/>
      <c r="BG262" s="135"/>
      <c r="BH262" s="135"/>
      <c r="BI262" s="135"/>
      <c r="BJ262" s="135"/>
      <c r="BK262" s="134">
        <f t="shared" si="12"/>
        <v>0</v>
      </c>
      <c r="BL262" s="135"/>
      <c r="BM262" s="135"/>
      <c r="BN262" s="135"/>
      <c r="BO262" s="135"/>
      <c r="BP262" s="135"/>
      <c r="BQ262" s="135"/>
      <c r="BR262" s="135"/>
      <c r="BS262" s="132" t="s">
        <v>1177</v>
      </c>
      <c r="BT262" s="133"/>
      <c r="BU262" s="133"/>
      <c r="BV262" s="133"/>
      <c r="BW262" s="133"/>
      <c r="BX262" s="133"/>
      <c r="IR262" s="46">
        <f t="shared" si="15"/>
        <v>0</v>
      </c>
      <c r="IS262" s="46">
        <f t="shared" si="16"/>
        <v>0</v>
      </c>
    </row>
    <row r="263" spans="1:253" ht="12.75">
      <c r="A263" s="132" t="s">
        <v>209</v>
      </c>
      <c r="B263" s="133"/>
      <c r="C263" s="132"/>
      <c r="D263" s="133"/>
      <c r="E263" s="133"/>
      <c r="F263" s="132" t="s">
        <v>582</v>
      </c>
      <c r="G263" s="133"/>
      <c r="H263" s="133"/>
      <c r="I263" s="133"/>
      <c r="J263" s="133"/>
      <c r="K263" s="133"/>
      <c r="L263" s="132" t="s">
        <v>976</v>
      </c>
      <c r="M263" s="133"/>
      <c r="N263" s="133"/>
      <c r="O263" s="133"/>
      <c r="P263" s="133"/>
      <c r="Q263" s="133"/>
      <c r="R263" s="133"/>
      <c r="S263" s="133"/>
      <c r="T263" s="133"/>
      <c r="U263" s="133"/>
      <c r="V263" s="133"/>
      <c r="W263" s="133"/>
      <c r="X263" s="133"/>
      <c r="Y263" s="133"/>
      <c r="Z263" s="133"/>
      <c r="AA263" s="133"/>
      <c r="AB263" s="133"/>
      <c r="AC263" s="133"/>
      <c r="AD263" s="133"/>
      <c r="AE263" s="133"/>
      <c r="AF263" s="133"/>
      <c r="AG263" s="133"/>
      <c r="AH263" s="133"/>
      <c r="AI263" s="133"/>
      <c r="AJ263" s="133"/>
      <c r="AK263" s="133"/>
      <c r="AL263" s="133"/>
      <c r="AM263" s="133"/>
      <c r="AN263" s="133"/>
      <c r="AO263" s="133"/>
      <c r="AP263" s="133"/>
      <c r="AQ263" s="133"/>
      <c r="AR263" s="133"/>
      <c r="AS263" s="133"/>
      <c r="AT263" s="133"/>
      <c r="AU263" s="133"/>
      <c r="AV263" s="132" t="s">
        <v>1154</v>
      </c>
      <c r="AW263" s="133"/>
      <c r="AX263" s="134">
        <f>'Stavební rozpočet'!F264</f>
        <v>40</v>
      </c>
      <c r="AY263" s="135"/>
      <c r="AZ263" s="135"/>
      <c r="BA263" s="135"/>
      <c r="BB263" s="135"/>
      <c r="BC263" s="134">
        <f>'Stavební rozpočet'!G264</f>
        <v>0</v>
      </c>
      <c r="BD263" s="135"/>
      <c r="BE263" s="135"/>
      <c r="BF263" s="135"/>
      <c r="BG263" s="135"/>
      <c r="BH263" s="135"/>
      <c r="BI263" s="135"/>
      <c r="BJ263" s="135"/>
      <c r="BK263" s="134">
        <f t="shared" si="12"/>
        <v>0</v>
      </c>
      <c r="BL263" s="135"/>
      <c r="BM263" s="135"/>
      <c r="BN263" s="135"/>
      <c r="BO263" s="135"/>
      <c r="BP263" s="135"/>
      <c r="BQ263" s="135"/>
      <c r="BR263" s="135"/>
      <c r="BS263" s="132" t="s">
        <v>1177</v>
      </c>
      <c r="BT263" s="133"/>
      <c r="BU263" s="133"/>
      <c r="BV263" s="133"/>
      <c r="BW263" s="133"/>
      <c r="BX263" s="133"/>
      <c r="IR263" s="46">
        <f t="shared" si="15"/>
        <v>0</v>
      </c>
      <c r="IS263" s="46">
        <f t="shared" si="16"/>
        <v>0</v>
      </c>
    </row>
    <row r="264" spans="1:253" ht="12.75">
      <c r="A264" s="132" t="s">
        <v>210</v>
      </c>
      <c r="B264" s="133"/>
      <c r="C264" s="132"/>
      <c r="D264" s="133"/>
      <c r="E264" s="133"/>
      <c r="F264" s="132" t="s">
        <v>583</v>
      </c>
      <c r="G264" s="133"/>
      <c r="H264" s="133"/>
      <c r="I264" s="133"/>
      <c r="J264" s="133"/>
      <c r="K264" s="133"/>
      <c r="L264" s="132" t="s">
        <v>977</v>
      </c>
      <c r="M264" s="133"/>
      <c r="N264" s="133"/>
      <c r="O264" s="133"/>
      <c r="P264" s="133"/>
      <c r="Q264" s="133"/>
      <c r="R264" s="133"/>
      <c r="S264" s="133"/>
      <c r="T264" s="133"/>
      <c r="U264" s="133"/>
      <c r="V264" s="133"/>
      <c r="W264" s="133"/>
      <c r="X264" s="133"/>
      <c r="Y264" s="133"/>
      <c r="Z264" s="133"/>
      <c r="AA264" s="133"/>
      <c r="AB264" s="133"/>
      <c r="AC264" s="133"/>
      <c r="AD264" s="133"/>
      <c r="AE264" s="133"/>
      <c r="AF264" s="133"/>
      <c r="AG264" s="133"/>
      <c r="AH264" s="133"/>
      <c r="AI264" s="133"/>
      <c r="AJ264" s="133"/>
      <c r="AK264" s="133"/>
      <c r="AL264" s="133"/>
      <c r="AM264" s="133"/>
      <c r="AN264" s="133"/>
      <c r="AO264" s="133"/>
      <c r="AP264" s="133"/>
      <c r="AQ264" s="133"/>
      <c r="AR264" s="133"/>
      <c r="AS264" s="133"/>
      <c r="AT264" s="133"/>
      <c r="AU264" s="133"/>
      <c r="AV264" s="132" t="s">
        <v>1154</v>
      </c>
      <c r="AW264" s="133"/>
      <c r="AX264" s="134">
        <f>'Stavební rozpočet'!F265</f>
        <v>6</v>
      </c>
      <c r="AY264" s="135"/>
      <c r="AZ264" s="135"/>
      <c r="BA264" s="135"/>
      <c r="BB264" s="135"/>
      <c r="BC264" s="134">
        <f>'Stavební rozpočet'!G265</f>
        <v>0</v>
      </c>
      <c r="BD264" s="135"/>
      <c r="BE264" s="135"/>
      <c r="BF264" s="135"/>
      <c r="BG264" s="135"/>
      <c r="BH264" s="135"/>
      <c r="BI264" s="135"/>
      <c r="BJ264" s="135"/>
      <c r="BK264" s="134">
        <f aca="true" t="shared" si="17" ref="BK264:BK295">IR264*AX264+IS264*AX264</f>
        <v>0</v>
      </c>
      <c r="BL264" s="135"/>
      <c r="BM264" s="135"/>
      <c r="BN264" s="135"/>
      <c r="BO264" s="135"/>
      <c r="BP264" s="135"/>
      <c r="BQ264" s="135"/>
      <c r="BR264" s="135"/>
      <c r="BS264" s="132" t="s">
        <v>1177</v>
      </c>
      <c r="BT264" s="133"/>
      <c r="BU264" s="133"/>
      <c r="BV264" s="133"/>
      <c r="BW264" s="133"/>
      <c r="BX264" s="133"/>
      <c r="IR264" s="46">
        <f t="shared" si="15"/>
        <v>0</v>
      </c>
      <c r="IS264" s="46">
        <f t="shared" si="16"/>
        <v>0</v>
      </c>
    </row>
    <row r="265" spans="1:253" ht="12.75">
      <c r="A265" s="132" t="s">
        <v>211</v>
      </c>
      <c r="B265" s="133"/>
      <c r="C265" s="132"/>
      <c r="D265" s="133"/>
      <c r="E265" s="133"/>
      <c r="F265" s="132" t="s">
        <v>584</v>
      </c>
      <c r="G265" s="133"/>
      <c r="H265" s="133"/>
      <c r="I265" s="133"/>
      <c r="J265" s="133"/>
      <c r="K265" s="133"/>
      <c r="L265" s="132" t="s">
        <v>978</v>
      </c>
      <c r="M265" s="133"/>
      <c r="N265" s="133"/>
      <c r="O265" s="133"/>
      <c r="P265" s="133"/>
      <c r="Q265" s="133"/>
      <c r="R265" s="133"/>
      <c r="S265" s="133"/>
      <c r="T265" s="133"/>
      <c r="U265" s="133"/>
      <c r="V265" s="133"/>
      <c r="W265" s="133"/>
      <c r="X265" s="133"/>
      <c r="Y265" s="133"/>
      <c r="Z265" s="133"/>
      <c r="AA265" s="133"/>
      <c r="AB265" s="133"/>
      <c r="AC265" s="133"/>
      <c r="AD265" s="133"/>
      <c r="AE265" s="133"/>
      <c r="AF265" s="133"/>
      <c r="AG265" s="133"/>
      <c r="AH265" s="133"/>
      <c r="AI265" s="133"/>
      <c r="AJ265" s="133"/>
      <c r="AK265" s="133"/>
      <c r="AL265" s="133"/>
      <c r="AM265" s="133"/>
      <c r="AN265" s="133"/>
      <c r="AO265" s="133"/>
      <c r="AP265" s="133"/>
      <c r="AQ265" s="133"/>
      <c r="AR265" s="133"/>
      <c r="AS265" s="133"/>
      <c r="AT265" s="133"/>
      <c r="AU265" s="133"/>
      <c r="AV265" s="132" t="s">
        <v>1154</v>
      </c>
      <c r="AW265" s="133"/>
      <c r="AX265" s="134">
        <f>'Stavební rozpočet'!F266</f>
        <v>6</v>
      </c>
      <c r="AY265" s="135"/>
      <c r="AZ265" s="135"/>
      <c r="BA265" s="135"/>
      <c r="BB265" s="135"/>
      <c r="BC265" s="134">
        <f>'Stavební rozpočet'!G266</f>
        <v>0</v>
      </c>
      <c r="BD265" s="135"/>
      <c r="BE265" s="135"/>
      <c r="BF265" s="135"/>
      <c r="BG265" s="135"/>
      <c r="BH265" s="135"/>
      <c r="BI265" s="135"/>
      <c r="BJ265" s="135"/>
      <c r="BK265" s="134">
        <f t="shared" si="17"/>
        <v>0</v>
      </c>
      <c r="BL265" s="135"/>
      <c r="BM265" s="135"/>
      <c r="BN265" s="135"/>
      <c r="BO265" s="135"/>
      <c r="BP265" s="135"/>
      <c r="BQ265" s="135"/>
      <c r="BR265" s="135"/>
      <c r="BS265" s="132" t="s">
        <v>1177</v>
      </c>
      <c r="BT265" s="133"/>
      <c r="BU265" s="133"/>
      <c r="BV265" s="133"/>
      <c r="BW265" s="133"/>
      <c r="BX265" s="133"/>
      <c r="IR265" s="46">
        <f t="shared" si="15"/>
        <v>0</v>
      </c>
      <c r="IS265" s="46">
        <f t="shared" si="16"/>
        <v>0</v>
      </c>
    </row>
    <row r="266" spans="1:253" ht="12.75">
      <c r="A266" s="132" t="s">
        <v>212</v>
      </c>
      <c r="B266" s="133"/>
      <c r="C266" s="132"/>
      <c r="D266" s="133"/>
      <c r="E266" s="133"/>
      <c r="F266" s="132" t="s">
        <v>585</v>
      </c>
      <c r="G266" s="133"/>
      <c r="H266" s="133"/>
      <c r="I266" s="133"/>
      <c r="J266" s="133"/>
      <c r="K266" s="133"/>
      <c r="L266" s="132" t="s">
        <v>979</v>
      </c>
      <c r="M266" s="133"/>
      <c r="N266" s="133"/>
      <c r="O266" s="133"/>
      <c r="P266" s="133"/>
      <c r="Q266" s="133"/>
      <c r="R266" s="133"/>
      <c r="S266" s="133"/>
      <c r="T266" s="133"/>
      <c r="U266" s="133"/>
      <c r="V266" s="133"/>
      <c r="W266" s="133"/>
      <c r="X266" s="133"/>
      <c r="Y266" s="133"/>
      <c r="Z266" s="133"/>
      <c r="AA266" s="133"/>
      <c r="AB266" s="133"/>
      <c r="AC266" s="133"/>
      <c r="AD266" s="133"/>
      <c r="AE266" s="133"/>
      <c r="AF266" s="133"/>
      <c r="AG266" s="133"/>
      <c r="AH266" s="133"/>
      <c r="AI266" s="133"/>
      <c r="AJ266" s="133"/>
      <c r="AK266" s="133"/>
      <c r="AL266" s="133"/>
      <c r="AM266" s="133"/>
      <c r="AN266" s="133"/>
      <c r="AO266" s="133"/>
      <c r="AP266" s="133"/>
      <c r="AQ266" s="133"/>
      <c r="AR266" s="133"/>
      <c r="AS266" s="133"/>
      <c r="AT266" s="133"/>
      <c r="AU266" s="133"/>
      <c r="AV266" s="132" t="s">
        <v>1154</v>
      </c>
      <c r="AW266" s="133"/>
      <c r="AX266" s="134">
        <f>'Stavební rozpočet'!F267</f>
        <v>400</v>
      </c>
      <c r="AY266" s="135"/>
      <c r="AZ266" s="135"/>
      <c r="BA266" s="135"/>
      <c r="BB266" s="135"/>
      <c r="BC266" s="134">
        <f>'Stavební rozpočet'!G267</f>
        <v>0</v>
      </c>
      <c r="BD266" s="135"/>
      <c r="BE266" s="135"/>
      <c r="BF266" s="135"/>
      <c r="BG266" s="135"/>
      <c r="BH266" s="135"/>
      <c r="BI266" s="135"/>
      <c r="BJ266" s="135"/>
      <c r="BK266" s="134">
        <f t="shared" si="17"/>
        <v>0</v>
      </c>
      <c r="BL266" s="135"/>
      <c r="BM266" s="135"/>
      <c r="BN266" s="135"/>
      <c r="BO266" s="135"/>
      <c r="BP266" s="135"/>
      <c r="BQ266" s="135"/>
      <c r="BR266" s="135"/>
      <c r="BS266" s="132" t="s">
        <v>1177</v>
      </c>
      <c r="BT266" s="133"/>
      <c r="BU266" s="133"/>
      <c r="BV266" s="133"/>
      <c r="BW266" s="133"/>
      <c r="BX266" s="133"/>
      <c r="IR266" s="46">
        <f t="shared" si="15"/>
        <v>0</v>
      </c>
      <c r="IS266" s="46">
        <f t="shared" si="16"/>
        <v>0</v>
      </c>
    </row>
    <row r="267" spans="1:253" ht="12.75">
      <c r="A267" s="132" t="s">
        <v>213</v>
      </c>
      <c r="B267" s="133"/>
      <c r="C267" s="132"/>
      <c r="D267" s="133"/>
      <c r="E267" s="133"/>
      <c r="F267" s="132" t="s">
        <v>586</v>
      </c>
      <c r="G267" s="133"/>
      <c r="H267" s="133"/>
      <c r="I267" s="133"/>
      <c r="J267" s="133"/>
      <c r="K267" s="133"/>
      <c r="L267" s="132" t="s">
        <v>980</v>
      </c>
      <c r="M267" s="133"/>
      <c r="N267" s="133"/>
      <c r="O267" s="133"/>
      <c r="P267" s="133"/>
      <c r="Q267" s="133"/>
      <c r="R267" s="133"/>
      <c r="S267" s="133"/>
      <c r="T267" s="133"/>
      <c r="U267" s="133"/>
      <c r="V267" s="133"/>
      <c r="W267" s="133"/>
      <c r="X267" s="133"/>
      <c r="Y267" s="133"/>
      <c r="Z267" s="133"/>
      <c r="AA267" s="133"/>
      <c r="AB267" s="133"/>
      <c r="AC267" s="133"/>
      <c r="AD267" s="133"/>
      <c r="AE267" s="133"/>
      <c r="AF267" s="133"/>
      <c r="AG267" s="133"/>
      <c r="AH267" s="133"/>
      <c r="AI267" s="133"/>
      <c r="AJ267" s="133"/>
      <c r="AK267" s="133"/>
      <c r="AL267" s="133"/>
      <c r="AM267" s="133"/>
      <c r="AN267" s="133"/>
      <c r="AO267" s="133"/>
      <c r="AP267" s="133"/>
      <c r="AQ267" s="133"/>
      <c r="AR267" s="133"/>
      <c r="AS267" s="133"/>
      <c r="AT267" s="133"/>
      <c r="AU267" s="133"/>
      <c r="AV267" s="132" t="s">
        <v>1154</v>
      </c>
      <c r="AW267" s="133"/>
      <c r="AX267" s="134">
        <f>'Stavební rozpočet'!F268</f>
        <v>360</v>
      </c>
      <c r="AY267" s="135"/>
      <c r="AZ267" s="135"/>
      <c r="BA267" s="135"/>
      <c r="BB267" s="135"/>
      <c r="BC267" s="134">
        <f>'Stavební rozpočet'!G268</f>
        <v>0</v>
      </c>
      <c r="BD267" s="135"/>
      <c r="BE267" s="135"/>
      <c r="BF267" s="135"/>
      <c r="BG267" s="135"/>
      <c r="BH267" s="135"/>
      <c r="BI267" s="135"/>
      <c r="BJ267" s="135"/>
      <c r="BK267" s="134">
        <f t="shared" si="17"/>
        <v>0</v>
      </c>
      <c r="BL267" s="135"/>
      <c r="BM267" s="135"/>
      <c r="BN267" s="135"/>
      <c r="BO267" s="135"/>
      <c r="BP267" s="135"/>
      <c r="BQ267" s="135"/>
      <c r="BR267" s="135"/>
      <c r="BS267" s="132" t="s">
        <v>1177</v>
      </c>
      <c r="BT267" s="133"/>
      <c r="BU267" s="133"/>
      <c r="BV267" s="133"/>
      <c r="BW267" s="133"/>
      <c r="BX267" s="133"/>
      <c r="IR267" s="46">
        <f t="shared" si="15"/>
        <v>0</v>
      </c>
      <c r="IS267" s="46">
        <f t="shared" si="16"/>
        <v>0</v>
      </c>
    </row>
    <row r="268" spans="1:253" ht="12.75">
      <c r="A268" s="132" t="s">
        <v>214</v>
      </c>
      <c r="B268" s="133"/>
      <c r="C268" s="132"/>
      <c r="D268" s="133"/>
      <c r="E268" s="133"/>
      <c r="F268" s="132" t="s">
        <v>587</v>
      </c>
      <c r="G268" s="133"/>
      <c r="H268" s="133"/>
      <c r="I268" s="133"/>
      <c r="J268" s="133"/>
      <c r="K268" s="133"/>
      <c r="L268" s="132" t="s">
        <v>981</v>
      </c>
      <c r="M268" s="133"/>
      <c r="N268" s="133"/>
      <c r="O268" s="133"/>
      <c r="P268" s="133"/>
      <c r="Q268" s="133"/>
      <c r="R268" s="133"/>
      <c r="S268" s="133"/>
      <c r="T268" s="133"/>
      <c r="U268" s="133"/>
      <c r="V268" s="133"/>
      <c r="W268" s="133"/>
      <c r="X268" s="133"/>
      <c r="Y268" s="133"/>
      <c r="Z268" s="133"/>
      <c r="AA268" s="133"/>
      <c r="AB268" s="133"/>
      <c r="AC268" s="133"/>
      <c r="AD268" s="133"/>
      <c r="AE268" s="133"/>
      <c r="AF268" s="133"/>
      <c r="AG268" s="133"/>
      <c r="AH268" s="133"/>
      <c r="AI268" s="133"/>
      <c r="AJ268" s="133"/>
      <c r="AK268" s="133"/>
      <c r="AL268" s="133"/>
      <c r="AM268" s="133"/>
      <c r="AN268" s="133"/>
      <c r="AO268" s="133"/>
      <c r="AP268" s="133"/>
      <c r="AQ268" s="133"/>
      <c r="AR268" s="133"/>
      <c r="AS268" s="133"/>
      <c r="AT268" s="133"/>
      <c r="AU268" s="133"/>
      <c r="AV268" s="132" t="s">
        <v>1154</v>
      </c>
      <c r="AW268" s="133"/>
      <c r="AX268" s="134">
        <f>'Stavební rozpočet'!F269</f>
        <v>40</v>
      </c>
      <c r="AY268" s="135"/>
      <c r="AZ268" s="135"/>
      <c r="BA268" s="135"/>
      <c r="BB268" s="135"/>
      <c r="BC268" s="134">
        <f>'Stavební rozpočet'!G269</f>
        <v>0</v>
      </c>
      <c r="BD268" s="135"/>
      <c r="BE268" s="135"/>
      <c r="BF268" s="135"/>
      <c r="BG268" s="135"/>
      <c r="BH268" s="135"/>
      <c r="BI268" s="135"/>
      <c r="BJ268" s="135"/>
      <c r="BK268" s="134">
        <f t="shared" si="17"/>
        <v>0</v>
      </c>
      <c r="BL268" s="135"/>
      <c r="BM268" s="135"/>
      <c r="BN268" s="135"/>
      <c r="BO268" s="135"/>
      <c r="BP268" s="135"/>
      <c r="BQ268" s="135"/>
      <c r="BR268" s="135"/>
      <c r="BS268" s="132" t="s">
        <v>1177</v>
      </c>
      <c r="BT268" s="133"/>
      <c r="BU268" s="133"/>
      <c r="BV268" s="133"/>
      <c r="BW268" s="133"/>
      <c r="BX268" s="133"/>
      <c r="IR268" s="46">
        <f t="shared" si="15"/>
        <v>0</v>
      </c>
      <c r="IS268" s="46">
        <f t="shared" si="16"/>
        <v>0</v>
      </c>
    </row>
    <row r="269" spans="1:253" ht="12.75">
      <c r="A269" s="132" t="s">
        <v>215</v>
      </c>
      <c r="B269" s="133"/>
      <c r="C269" s="132"/>
      <c r="D269" s="133"/>
      <c r="E269" s="133"/>
      <c r="F269" s="132" t="s">
        <v>588</v>
      </c>
      <c r="G269" s="133"/>
      <c r="H269" s="133"/>
      <c r="I269" s="133"/>
      <c r="J269" s="133"/>
      <c r="K269" s="133"/>
      <c r="L269" s="132" t="s">
        <v>982</v>
      </c>
      <c r="M269" s="133"/>
      <c r="N269" s="133"/>
      <c r="O269" s="133"/>
      <c r="P269" s="133"/>
      <c r="Q269" s="133"/>
      <c r="R269" s="133"/>
      <c r="S269" s="133"/>
      <c r="T269" s="133"/>
      <c r="U269" s="133"/>
      <c r="V269" s="133"/>
      <c r="W269" s="133"/>
      <c r="X269" s="133"/>
      <c r="Y269" s="133"/>
      <c r="Z269" s="133"/>
      <c r="AA269" s="133"/>
      <c r="AB269" s="133"/>
      <c r="AC269" s="133"/>
      <c r="AD269" s="133"/>
      <c r="AE269" s="133"/>
      <c r="AF269" s="133"/>
      <c r="AG269" s="133"/>
      <c r="AH269" s="133"/>
      <c r="AI269" s="133"/>
      <c r="AJ269" s="133"/>
      <c r="AK269" s="133"/>
      <c r="AL269" s="133"/>
      <c r="AM269" s="133"/>
      <c r="AN269" s="133"/>
      <c r="AO269" s="133"/>
      <c r="AP269" s="133"/>
      <c r="AQ269" s="133"/>
      <c r="AR269" s="133"/>
      <c r="AS269" s="133"/>
      <c r="AT269" s="133"/>
      <c r="AU269" s="133"/>
      <c r="AV269" s="132" t="s">
        <v>1154</v>
      </c>
      <c r="AW269" s="133"/>
      <c r="AX269" s="134">
        <f>'Stavební rozpočet'!F270</f>
        <v>30</v>
      </c>
      <c r="AY269" s="135"/>
      <c r="AZ269" s="135"/>
      <c r="BA269" s="135"/>
      <c r="BB269" s="135"/>
      <c r="BC269" s="134">
        <f>'Stavební rozpočet'!G270</f>
        <v>0</v>
      </c>
      <c r="BD269" s="135"/>
      <c r="BE269" s="135"/>
      <c r="BF269" s="135"/>
      <c r="BG269" s="135"/>
      <c r="BH269" s="135"/>
      <c r="BI269" s="135"/>
      <c r="BJ269" s="135"/>
      <c r="BK269" s="134">
        <f t="shared" si="17"/>
        <v>0</v>
      </c>
      <c r="BL269" s="135"/>
      <c r="BM269" s="135"/>
      <c r="BN269" s="135"/>
      <c r="BO269" s="135"/>
      <c r="BP269" s="135"/>
      <c r="BQ269" s="135"/>
      <c r="BR269" s="135"/>
      <c r="BS269" s="132" t="s">
        <v>1177</v>
      </c>
      <c r="BT269" s="133"/>
      <c r="BU269" s="133"/>
      <c r="BV269" s="133"/>
      <c r="BW269" s="133"/>
      <c r="BX269" s="133"/>
      <c r="IR269" s="46">
        <f t="shared" si="15"/>
        <v>0</v>
      </c>
      <c r="IS269" s="46">
        <f t="shared" si="16"/>
        <v>0</v>
      </c>
    </row>
    <row r="270" spans="1:253" ht="12.75">
      <c r="A270" s="132" t="s">
        <v>216</v>
      </c>
      <c r="B270" s="133"/>
      <c r="C270" s="132"/>
      <c r="D270" s="133"/>
      <c r="E270" s="133"/>
      <c r="F270" s="132" t="s">
        <v>589</v>
      </c>
      <c r="G270" s="133"/>
      <c r="H270" s="133"/>
      <c r="I270" s="133"/>
      <c r="J270" s="133"/>
      <c r="K270" s="133"/>
      <c r="L270" s="132" t="s">
        <v>983</v>
      </c>
      <c r="M270" s="133"/>
      <c r="N270" s="133"/>
      <c r="O270" s="133"/>
      <c r="P270" s="133"/>
      <c r="Q270" s="133"/>
      <c r="R270" s="133"/>
      <c r="S270" s="133"/>
      <c r="T270" s="133"/>
      <c r="U270" s="133"/>
      <c r="V270" s="133"/>
      <c r="W270" s="133"/>
      <c r="X270" s="133"/>
      <c r="Y270" s="133"/>
      <c r="Z270" s="133"/>
      <c r="AA270" s="133"/>
      <c r="AB270" s="133"/>
      <c r="AC270" s="133"/>
      <c r="AD270" s="133"/>
      <c r="AE270" s="133"/>
      <c r="AF270" s="133"/>
      <c r="AG270" s="133"/>
      <c r="AH270" s="133"/>
      <c r="AI270" s="133"/>
      <c r="AJ270" s="133"/>
      <c r="AK270" s="133"/>
      <c r="AL270" s="133"/>
      <c r="AM270" s="133"/>
      <c r="AN270" s="133"/>
      <c r="AO270" s="133"/>
      <c r="AP270" s="133"/>
      <c r="AQ270" s="133"/>
      <c r="AR270" s="133"/>
      <c r="AS270" s="133"/>
      <c r="AT270" s="133"/>
      <c r="AU270" s="133"/>
      <c r="AV270" s="132" t="s">
        <v>1154</v>
      </c>
      <c r="AW270" s="133"/>
      <c r="AX270" s="134">
        <f>'Stavební rozpočet'!F271</f>
        <v>30</v>
      </c>
      <c r="AY270" s="135"/>
      <c r="AZ270" s="135"/>
      <c r="BA270" s="135"/>
      <c r="BB270" s="135"/>
      <c r="BC270" s="134">
        <f>'Stavební rozpočet'!G271</f>
        <v>0</v>
      </c>
      <c r="BD270" s="135"/>
      <c r="BE270" s="135"/>
      <c r="BF270" s="135"/>
      <c r="BG270" s="135"/>
      <c r="BH270" s="135"/>
      <c r="BI270" s="135"/>
      <c r="BJ270" s="135"/>
      <c r="BK270" s="134">
        <f t="shared" si="17"/>
        <v>0</v>
      </c>
      <c r="BL270" s="135"/>
      <c r="BM270" s="135"/>
      <c r="BN270" s="135"/>
      <c r="BO270" s="135"/>
      <c r="BP270" s="135"/>
      <c r="BQ270" s="135"/>
      <c r="BR270" s="135"/>
      <c r="BS270" s="132" t="s">
        <v>1177</v>
      </c>
      <c r="BT270" s="133"/>
      <c r="BU270" s="133"/>
      <c r="BV270" s="133"/>
      <c r="BW270" s="133"/>
      <c r="BX270" s="133"/>
      <c r="IR270" s="46">
        <f t="shared" si="15"/>
        <v>0</v>
      </c>
      <c r="IS270" s="46">
        <f t="shared" si="16"/>
        <v>0</v>
      </c>
    </row>
    <row r="271" spans="1:253" ht="12.75">
      <c r="A271" s="132" t="s">
        <v>217</v>
      </c>
      <c r="B271" s="133"/>
      <c r="C271" s="132"/>
      <c r="D271" s="133"/>
      <c r="E271" s="133"/>
      <c r="F271" s="132" t="s">
        <v>590</v>
      </c>
      <c r="G271" s="133"/>
      <c r="H271" s="133"/>
      <c r="I271" s="133"/>
      <c r="J271" s="133"/>
      <c r="K271" s="133"/>
      <c r="L271" s="132" t="s">
        <v>984</v>
      </c>
      <c r="M271" s="133"/>
      <c r="N271" s="133"/>
      <c r="O271" s="133"/>
      <c r="P271" s="133"/>
      <c r="Q271" s="133"/>
      <c r="R271" s="133"/>
      <c r="S271" s="133"/>
      <c r="T271" s="133"/>
      <c r="U271" s="133"/>
      <c r="V271" s="133"/>
      <c r="W271" s="133"/>
      <c r="X271" s="133"/>
      <c r="Y271" s="133"/>
      <c r="Z271" s="133"/>
      <c r="AA271" s="133"/>
      <c r="AB271" s="133"/>
      <c r="AC271" s="133"/>
      <c r="AD271" s="133"/>
      <c r="AE271" s="133"/>
      <c r="AF271" s="133"/>
      <c r="AG271" s="133"/>
      <c r="AH271" s="133"/>
      <c r="AI271" s="133"/>
      <c r="AJ271" s="133"/>
      <c r="AK271" s="133"/>
      <c r="AL271" s="133"/>
      <c r="AM271" s="133"/>
      <c r="AN271" s="133"/>
      <c r="AO271" s="133"/>
      <c r="AP271" s="133"/>
      <c r="AQ271" s="133"/>
      <c r="AR271" s="133"/>
      <c r="AS271" s="133"/>
      <c r="AT271" s="133"/>
      <c r="AU271" s="133"/>
      <c r="AV271" s="132" t="s">
        <v>1154</v>
      </c>
      <c r="AW271" s="133"/>
      <c r="AX271" s="134">
        <f>'Stavební rozpočet'!F272</f>
        <v>30</v>
      </c>
      <c r="AY271" s="135"/>
      <c r="AZ271" s="135"/>
      <c r="BA271" s="135"/>
      <c r="BB271" s="135"/>
      <c r="BC271" s="134">
        <f>'Stavební rozpočet'!G272</f>
        <v>0</v>
      </c>
      <c r="BD271" s="135"/>
      <c r="BE271" s="135"/>
      <c r="BF271" s="135"/>
      <c r="BG271" s="135"/>
      <c r="BH271" s="135"/>
      <c r="BI271" s="135"/>
      <c r="BJ271" s="135"/>
      <c r="BK271" s="134">
        <f t="shared" si="17"/>
        <v>0</v>
      </c>
      <c r="BL271" s="135"/>
      <c r="BM271" s="135"/>
      <c r="BN271" s="135"/>
      <c r="BO271" s="135"/>
      <c r="BP271" s="135"/>
      <c r="BQ271" s="135"/>
      <c r="BR271" s="135"/>
      <c r="BS271" s="132" t="s">
        <v>1177</v>
      </c>
      <c r="BT271" s="133"/>
      <c r="BU271" s="133"/>
      <c r="BV271" s="133"/>
      <c r="BW271" s="133"/>
      <c r="BX271" s="133"/>
      <c r="IR271" s="46">
        <f t="shared" si="15"/>
        <v>0</v>
      </c>
      <c r="IS271" s="46">
        <f t="shared" si="16"/>
        <v>0</v>
      </c>
    </row>
    <row r="272" spans="1:253" ht="12.75">
      <c r="A272" s="132" t="s">
        <v>218</v>
      </c>
      <c r="B272" s="133"/>
      <c r="C272" s="132"/>
      <c r="D272" s="133"/>
      <c r="E272" s="133"/>
      <c r="F272" s="132" t="s">
        <v>591</v>
      </c>
      <c r="G272" s="133"/>
      <c r="H272" s="133"/>
      <c r="I272" s="133"/>
      <c r="J272" s="133"/>
      <c r="K272" s="133"/>
      <c r="L272" s="132" t="s">
        <v>985</v>
      </c>
      <c r="M272" s="133"/>
      <c r="N272" s="133"/>
      <c r="O272" s="133"/>
      <c r="P272" s="133"/>
      <c r="Q272" s="133"/>
      <c r="R272" s="133"/>
      <c r="S272" s="133"/>
      <c r="T272" s="133"/>
      <c r="U272" s="133"/>
      <c r="V272" s="133"/>
      <c r="W272" s="133"/>
      <c r="X272" s="133"/>
      <c r="Y272" s="133"/>
      <c r="Z272" s="133"/>
      <c r="AA272" s="133"/>
      <c r="AB272" s="133"/>
      <c r="AC272" s="133"/>
      <c r="AD272" s="133"/>
      <c r="AE272" s="133"/>
      <c r="AF272" s="133"/>
      <c r="AG272" s="133"/>
      <c r="AH272" s="133"/>
      <c r="AI272" s="133"/>
      <c r="AJ272" s="133"/>
      <c r="AK272" s="133"/>
      <c r="AL272" s="133"/>
      <c r="AM272" s="133"/>
      <c r="AN272" s="133"/>
      <c r="AO272" s="133"/>
      <c r="AP272" s="133"/>
      <c r="AQ272" s="133"/>
      <c r="AR272" s="133"/>
      <c r="AS272" s="133"/>
      <c r="AT272" s="133"/>
      <c r="AU272" s="133"/>
      <c r="AV272" s="132" t="s">
        <v>1154</v>
      </c>
      <c r="AW272" s="133"/>
      <c r="AX272" s="134">
        <f>'Stavební rozpočet'!F273</f>
        <v>30</v>
      </c>
      <c r="AY272" s="135"/>
      <c r="AZ272" s="135"/>
      <c r="BA272" s="135"/>
      <c r="BB272" s="135"/>
      <c r="BC272" s="134">
        <f>'Stavební rozpočet'!G273</f>
        <v>0</v>
      </c>
      <c r="BD272" s="135"/>
      <c r="BE272" s="135"/>
      <c r="BF272" s="135"/>
      <c r="BG272" s="135"/>
      <c r="BH272" s="135"/>
      <c r="BI272" s="135"/>
      <c r="BJ272" s="135"/>
      <c r="BK272" s="134">
        <f t="shared" si="17"/>
        <v>0</v>
      </c>
      <c r="BL272" s="135"/>
      <c r="BM272" s="135"/>
      <c r="BN272" s="135"/>
      <c r="BO272" s="135"/>
      <c r="BP272" s="135"/>
      <c r="BQ272" s="135"/>
      <c r="BR272" s="135"/>
      <c r="BS272" s="132" t="s">
        <v>1177</v>
      </c>
      <c r="BT272" s="133"/>
      <c r="BU272" s="133"/>
      <c r="BV272" s="133"/>
      <c r="BW272" s="133"/>
      <c r="BX272" s="133"/>
      <c r="IR272" s="46">
        <f t="shared" si="15"/>
        <v>0</v>
      </c>
      <c r="IS272" s="46">
        <f t="shared" si="16"/>
        <v>0</v>
      </c>
    </row>
    <row r="273" spans="1:253" ht="12.75">
      <c r="A273" s="132" t="s">
        <v>219</v>
      </c>
      <c r="B273" s="133"/>
      <c r="C273" s="132"/>
      <c r="D273" s="133"/>
      <c r="E273" s="133"/>
      <c r="F273" s="132" t="s">
        <v>592</v>
      </c>
      <c r="G273" s="133"/>
      <c r="H273" s="133"/>
      <c r="I273" s="133"/>
      <c r="J273" s="133"/>
      <c r="K273" s="133"/>
      <c r="L273" s="132" t="s">
        <v>986</v>
      </c>
      <c r="M273" s="133"/>
      <c r="N273" s="133"/>
      <c r="O273" s="133"/>
      <c r="P273" s="133"/>
      <c r="Q273" s="133"/>
      <c r="R273" s="133"/>
      <c r="S273" s="133"/>
      <c r="T273" s="133"/>
      <c r="U273" s="133"/>
      <c r="V273" s="133"/>
      <c r="W273" s="133"/>
      <c r="X273" s="133"/>
      <c r="Y273" s="133"/>
      <c r="Z273" s="133"/>
      <c r="AA273" s="133"/>
      <c r="AB273" s="133"/>
      <c r="AC273" s="133"/>
      <c r="AD273" s="133"/>
      <c r="AE273" s="133"/>
      <c r="AF273" s="133"/>
      <c r="AG273" s="133"/>
      <c r="AH273" s="133"/>
      <c r="AI273" s="133"/>
      <c r="AJ273" s="133"/>
      <c r="AK273" s="133"/>
      <c r="AL273" s="133"/>
      <c r="AM273" s="133"/>
      <c r="AN273" s="133"/>
      <c r="AO273" s="133"/>
      <c r="AP273" s="133"/>
      <c r="AQ273" s="133"/>
      <c r="AR273" s="133"/>
      <c r="AS273" s="133"/>
      <c r="AT273" s="133"/>
      <c r="AU273" s="133"/>
      <c r="AV273" s="132" t="s">
        <v>1153</v>
      </c>
      <c r="AW273" s="133"/>
      <c r="AX273" s="134">
        <f>'Stavební rozpočet'!F274</f>
        <v>39</v>
      </c>
      <c r="AY273" s="135"/>
      <c r="AZ273" s="135"/>
      <c r="BA273" s="135"/>
      <c r="BB273" s="135"/>
      <c r="BC273" s="134">
        <f>'Stavební rozpočet'!G274</f>
        <v>0</v>
      </c>
      <c r="BD273" s="135"/>
      <c r="BE273" s="135"/>
      <c r="BF273" s="135"/>
      <c r="BG273" s="135"/>
      <c r="BH273" s="135"/>
      <c r="BI273" s="135"/>
      <c r="BJ273" s="135"/>
      <c r="BK273" s="134">
        <f t="shared" si="17"/>
        <v>0</v>
      </c>
      <c r="BL273" s="135"/>
      <c r="BM273" s="135"/>
      <c r="BN273" s="135"/>
      <c r="BO273" s="135"/>
      <c r="BP273" s="135"/>
      <c r="BQ273" s="135"/>
      <c r="BR273" s="135"/>
      <c r="BS273" s="132" t="s">
        <v>1177</v>
      </c>
      <c r="BT273" s="133"/>
      <c r="BU273" s="133"/>
      <c r="BV273" s="133"/>
      <c r="BW273" s="133"/>
      <c r="BX273" s="133"/>
      <c r="IR273" s="46">
        <f t="shared" si="15"/>
        <v>0</v>
      </c>
      <c r="IS273" s="46">
        <f t="shared" si="16"/>
        <v>0</v>
      </c>
    </row>
    <row r="274" spans="1:253" ht="12.75">
      <c r="A274" s="132" t="s">
        <v>220</v>
      </c>
      <c r="B274" s="133"/>
      <c r="C274" s="132"/>
      <c r="D274" s="133"/>
      <c r="E274" s="133"/>
      <c r="F274" s="132" t="s">
        <v>593</v>
      </c>
      <c r="G274" s="133"/>
      <c r="H274" s="133"/>
      <c r="I274" s="133"/>
      <c r="J274" s="133"/>
      <c r="K274" s="133"/>
      <c r="L274" s="132" t="s">
        <v>987</v>
      </c>
      <c r="M274" s="133"/>
      <c r="N274" s="133"/>
      <c r="O274" s="133"/>
      <c r="P274" s="133"/>
      <c r="Q274" s="133"/>
      <c r="R274" s="133"/>
      <c r="S274" s="133"/>
      <c r="T274" s="133"/>
      <c r="U274" s="133"/>
      <c r="V274" s="133"/>
      <c r="W274" s="133"/>
      <c r="X274" s="133"/>
      <c r="Y274" s="133"/>
      <c r="Z274" s="133"/>
      <c r="AA274" s="133"/>
      <c r="AB274" s="133"/>
      <c r="AC274" s="133"/>
      <c r="AD274" s="133"/>
      <c r="AE274" s="133"/>
      <c r="AF274" s="133"/>
      <c r="AG274" s="133"/>
      <c r="AH274" s="133"/>
      <c r="AI274" s="133"/>
      <c r="AJ274" s="133"/>
      <c r="AK274" s="133"/>
      <c r="AL274" s="133"/>
      <c r="AM274" s="133"/>
      <c r="AN274" s="133"/>
      <c r="AO274" s="133"/>
      <c r="AP274" s="133"/>
      <c r="AQ274" s="133"/>
      <c r="AR274" s="133"/>
      <c r="AS274" s="133"/>
      <c r="AT274" s="133"/>
      <c r="AU274" s="133"/>
      <c r="AV274" s="132" t="s">
        <v>1157</v>
      </c>
      <c r="AW274" s="133"/>
      <c r="AX274" s="134">
        <f>'Stavební rozpočet'!F275</f>
        <v>21</v>
      </c>
      <c r="AY274" s="135"/>
      <c r="AZ274" s="135"/>
      <c r="BA274" s="135"/>
      <c r="BB274" s="135"/>
      <c r="BC274" s="134">
        <f>'Stavební rozpočet'!G275</f>
        <v>0</v>
      </c>
      <c r="BD274" s="135"/>
      <c r="BE274" s="135"/>
      <c r="BF274" s="135"/>
      <c r="BG274" s="135"/>
      <c r="BH274" s="135"/>
      <c r="BI274" s="135"/>
      <c r="BJ274" s="135"/>
      <c r="BK274" s="134">
        <f t="shared" si="17"/>
        <v>0</v>
      </c>
      <c r="BL274" s="135"/>
      <c r="BM274" s="135"/>
      <c r="BN274" s="135"/>
      <c r="BO274" s="135"/>
      <c r="BP274" s="135"/>
      <c r="BQ274" s="135"/>
      <c r="BR274" s="135"/>
      <c r="BS274" s="132" t="s">
        <v>1177</v>
      </c>
      <c r="BT274" s="133"/>
      <c r="BU274" s="133"/>
      <c r="BV274" s="133"/>
      <c r="BW274" s="133"/>
      <c r="BX274" s="133"/>
      <c r="IR274" s="46">
        <f t="shared" si="15"/>
        <v>0</v>
      </c>
      <c r="IS274" s="46">
        <f t="shared" si="16"/>
        <v>0</v>
      </c>
    </row>
    <row r="275" spans="1:253" ht="12.75">
      <c r="A275" s="132" t="s">
        <v>221</v>
      </c>
      <c r="B275" s="133"/>
      <c r="C275" s="132"/>
      <c r="D275" s="133"/>
      <c r="E275" s="133"/>
      <c r="F275" s="132" t="s">
        <v>594</v>
      </c>
      <c r="G275" s="133"/>
      <c r="H275" s="133"/>
      <c r="I275" s="133"/>
      <c r="J275" s="133"/>
      <c r="K275" s="133"/>
      <c r="L275" s="132" t="s">
        <v>988</v>
      </c>
      <c r="M275" s="133"/>
      <c r="N275" s="133"/>
      <c r="O275" s="133"/>
      <c r="P275" s="133"/>
      <c r="Q275" s="133"/>
      <c r="R275" s="133"/>
      <c r="S275" s="133"/>
      <c r="T275" s="133"/>
      <c r="U275" s="133"/>
      <c r="V275" s="133"/>
      <c r="W275" s="133"/>
      <c r="X275" s="133"/>
      <c r="Y275" s="133"/>
      <c r="Z275" s="133"/>
      <c r="AA275" s="133"/>
      <c r="AB275" s="133"/>
      <c r="AC275" s="133"/>
      <c r="AD275" s="133"/>
      <c r="AE275" s="133"/>
      <c r="AF275" s="133"/>
      <c r="AG275" s="133"/>
      <c r="AH275" s="133"/>
      <c r="AI275" s="133"/>
      <c r="AJ275" s="133"/>
      <c r="AK275" s="133"/>
      <c r="AL275" s="133"/>
      <c r="AM275" s="133"/>
      <c r="AN275" s="133"/>
      <c r="AO275" s="133"/>
      <c r="AP275" s="133"/>
      <c r="AQ275" s="133"/>
      <c r="AR275" s="133"/>
      <c r="AS275" s="133"/>
      <c r="AT275" s="133"/>
      <c r="AU275" s="133"/>
      <c r="AV275" s="132" t="s">
        <v>1157</v>
      </c>
      <c r="AW275" s="133"/>
      <c r="AX275" s="134">
        <f>'Stavební rozpočet'!F276</f>
        <v>2</v>
      </c>
      <c r="AY275" s="135"/>
      <c r="AZ275" s="135"/>
      <c r="BA275" s="135"/>
      <c r="BB275" s="135"/>
      <c r="BC275" s="134">
        <f>'Stavební rozpočet'!G276</f>
        <v>0</v>
      </c>
      <c r="BD275" s="135"/>
      <c r="BE275" s="135"/>
      <c r="BF275" s="135"/>
      <c r="BG275" s="135"/>
      <c r="BH275" s="135"/>
      <c r="BI275" s="135"/>
      <c r="BJ275" s="135"/>
      <c r="BK275" s="134">
        <f t="shared" si="17"/>
        <v>0</v>
      </c>
      <c r="BL275" s="135"/>
      <c r="BM275" s="135"/>
      <c r="BN275" s="135"/>
      <c r="BO275" s="135"/>
      <c r="BP275" s="135"/>
      <c r="BQ275" s="135"/>
      <c r="BR275" s="135"/>
      <c r="BS275" s="132" t="s">
        <v>1177</v>
      </c>
      <c r="BT275" s="133"/>
      <c r="BU275" s="133"/>
      <c r="BV275" s="133"/>
      <c r="BW275" s="133"/>
      <c r="BX275" s="133"/>
      <c r="IR275" s="46">
        <f t="shared" si="15"/>
        <v>0</v>
      </c>
      <c r="IS275" s="46">
        <f t="shared" si="16"/>
        <v>0</v>
      </c>
    </row>
    <row r="276" spans="1:253" ht="12.75">
      <c r="A276" s="132" t="s">
        <v>222</v>
      </c>
      <c r="B276" s="133"/>
      <c r="C276" s="132"/>
      <c r="D276" s="133"/>
      <c r="E276" s="133"/>
      <c r="F276" s="132" t="s">
        <v>595</v>
      </c>
      <c r="G276" s="133"/>
      <c r="H276" s="133"/>
      <c r="I276" s="133"/>
      <c r="J276" s="133"/>
      <c r="K276" s="133"/>
      <c r="L276" s="132" t="s">
        <v>989</v>
      </c>
      <c r="M276" s="133"/>
      <c r="N276" s="133"/>
      <c r="O276" s="133"/>
      <c r="P276" s="133"/>
      <c r="Q276" s="133"/>
      <c r="R276" s="133"/>
      <c r="S276" s="133"/>
      <c r="T276" s="133"/>
      <c r="U276" s="133"/>
      <c r="V276" s="133"/>
      <c r="W276" s="133"/>
      <c r="X276" s="133"/>
      <c r="Y276" s="133"/>
      <c r="Z276" s="133"/>
      <c r="AA276" s="133"/>
      <c r="AB276" s="133"/>
      <c r="AC276" s="133"/>
      <c r="AD276" s="133"/>
      <c r="AE276" s="133"/>
      <c r="AF276" s="133"/>
      <c r="AG276" s="133"/>
      <c r="AH276" s="133"/>
      <c r="AI276" s="133"/>
      <c r="AJ276" s="133"/>
      <c r="AK276" s="133"/>
      <c r="AL276" s="133"/>
      <c r="AM276" s="133"/>
      <c r="AN276" s="133"/>
      <c r="AO276" s="133"/>
      <c r="AP276" s="133"/>
      <c r="AQ276" s="133"/>
      <c r="AR276" s="133"/>
      <c r="AS276" s="133"/>
      <c r="AT276" s="133"/>
      <c r="AU276" s="133"/>
      <c r="AV276" s="132" t="s">
        <v>1157</v>
      </c>
      <c r="AW276" s="133"/>
      <c r="AX276" s="134">
        <f>'Stavební rozpočet'!F277</f>
        <v>12</v>
      </c>
      <c r="AY276" s="135"/>
      <c r="AZ276" s="135"/>
      <c r="BA276" s="135"/>
      <c r="BB276" s="135"/>
      <c r="BC276" s="134">
        <f>'Stavební rozpočet'!G277</f>
        <v>0</v>
      </c>
      <c r="BD276" s="135"/>
      <c r="BE276" s="135"/>
      <c r="BF276" s="135"/>
      <c r="BG276" s="135"/>
      <c r="BH276" s="135"/>
      <c r="BI276" s="135"/>
      <c r="BJ276" s="135"/>
      <c r="BK276" s="134">
        <f t="shared" si="17"/>
        <v>0</v>
      </c>
      <c r="BL276" s="135"/>
      <c r="BM276" s="135"/>
      <c r="BN276" s="135"/>
      <c r="BO276" s="135"/>
      <c r="BP276" s="135"/>
      <c r="BQ276" s="135"/>
      <c r="BR276" s="135"/>
      <c r="BS276" s="132" t="s">
        <v>1177</v>
      </c>
      <c r="BT276" s="133"/>
      <c r="BU276" s="133"/>
      <c r="BV276" s="133"/>
      <c r="BW276" s="133"/>
      <c r="BX276" s="133"/>
      <c r="IR276" s="46">
        <f t="shared" si="15"/>
        <v>0</v>
      </c>
      <c r="IS276" s="46">
        <f t="shared" si="16"/>
        <v>0</v>
      </c>
    </row>
    <row r="277" spans="1:253" ht="12.75">
      <c r="A277" s="132" t="s">
        <v>223</v>
      </c>
      <c r="B277" s="133"/>
      <c r="C277" s="132"/>
      <c r="D277" s="133"/>
      <c r="E277" s="133"/>
      <c r="F277" s="132" t="s">
        <v>596</v>
      </c>
      <c r="G277" s="133"/>
      <c r="H277" s="133"/>
      <c r="I277" s="133"/>
      <c r="J277" s="133"/>
      <c r="K277" s="133"/>
      <c r="L277" s="132" t="s">
        <v>990</v>
      </c>
      <c r="M277" s="133"/>
      <c r="N277" s="133"/>
      <c r="O277" s="133"/>
      <c r="P277" s="133"/>
      <c r="Q277" s="133"/>
      <c r="R277" s="133"/>
      <c r="S277" s="133"/>
      <c r="T277" s="133"/>
      <c r="U277" s="133"/>
      <c r="V277" s="133"/>
      <c r="W277" s="133"/>
      <c r="X277" s="133"/>
      <c r="Y277" s="133"/>
      <c r="Z277" s="133"/>
      <c r="AA277" s="133"/>
      <c r="AB277" s="133"/>
      <c r="AC277" s="133"/>
      <c r="AD277" s="133"/>
      <c r="AE277" s="133"/>
      <c r="AF277" s="133"/>
      <c r="AG277" s="133"/>
      <c r="AH277" s="133"/>
      <c r="AI277" s="133"/>
      <c r="AJ277" s="133"/>
      <c r="AK277" s="133"/>
      <c r="AL277" s="133"/>
      <c r="AM277" s="133"/>
      <c r="AN277" s="133"/>
      <c r="AO277" s="133"/>
      <c r="AP277" s="133"/>
      <c r="AQ277" s="133"/>
      <c r="AR277" s="133"/>
      <c r="AS277" s="133"/>
      <c r="AT277" s="133"/>
      <c r="AU277" s="133"/>
      <c r="AV277" s="132" t="s">
        <v>1158</v>
      </c>
      <c r="AW277" s="133"/>
      <c r="AX277" s="134">
        <f>'Stavební rozpočet'!F278</f>
        <v>4</v>
      </c>
      <c r="AY277" s="135"/>
      <c r="AZ277" s="135"/>
      <c r="BA277" s="135"/>
      <c r="BB277" s="135"/>
      <c r="BC277" s="134">
        <f>'Stavební rozpočet'!G278</f>
        <v>0</v>
      </c>
      <c r="BD277" s="135"/>
      <c r="BE277" s="135"/>
      <c r="BF277" s="135"/>
      <c r="BG277" s="135"/>
      <c r="BH277" s="135"/>
      <c r="BI277" s="135"/>
      <c r="BJ277" s="135"/>
      <c r="BK277" s="134">
        <f t="shared" si="17"/>
        <v>0</v>
      </c>
      <c r="BL277" s="135"/>
      <c r="BM277" s="135"/>
      <c r="BN277" s="135"/>
      <c r="BO277" s="135"/>
      <c r="BP277" s="135"/>
      <c r="BQ277" s="135"/>
      <c r="BR277" s="135"/>
      <c r="BS277" s="132" t="s">
        <v>1177</v>
      </c>
      <c r="BT277" s="133"/>
      <c r="BU277" s="133"/>
      <c r="BV277" s="133"/>
      <c r="BW277" s="133"/>
      <c r="BX277" s="133"/>
      <c r="IR277" s="46">
        <f t="shared" si="15"/>
        <v>0</v>
      </c>
      <c r="IS277" s="46">
        <f t="shared" si="16"/>
        <v>0</v>
      </c>
    </row>
    <row r="278" spans="1:253" ht="12.75">
      <c r="A278" s="132" t="s">
        <v>224</v>
      </c>
      <c r="B278" s="133"/>
      <c r="C278" s="132"/>
      <c r="D278" s="133"/>
      <c r="E278" s="133"/>
      <c r="F278" s="132" t="s">
        <v>597</v>
      </c>
      <c r="G278" s="133"/>
      <c r="H278" s="133"/>
      <c r="I278" s="133"/>
      <c r="J278" s="133"/>
      <c r="K278" s="133"/>
      <c r="L278" s="132" t="s">
        <v>991</v>
      </c>
      <c r="M278" s="133"/>
      <c r="N278" s="133"/>
      <c r="O278" s="133"/>
      <c r="P278" s="133"/>
      <c r="Q278" s="133"/>
      <c r="R278" s="133"/>
      <c r="S278" s="133"/>
      <c r="T278" s="133"/>
      <c r="U278" s="133"/>
      <c r="V278" s="133"/>
      <c r="W278" s="133"/>
      <c r="X278" s="133"/>
      <c r="Y278" s="133"/>
      <c r="Z278" s="133"/>
      <c r="AA278" s="133"/>
      <c r="AB278" s="133"/>
      <c r="AC278" s="133"/>
      <c r="AD278" s="133"/>
      <c r="AE278" s="133"/>
      <c r="AF278" s="133"/>
      <c r="AG278" s="133"/>
      <c r="AH278" s="133"/>
      <c r="AI278" s="133"/>
      <c r="AJ278" s="133"/>
      <c r="AK278" s="133"/>
      <c r="AL278" s="133"/>
      <c r="AM278" s="133"/>
      <c r="AN278" s="133"/>
      <c r="AO278" s="133"/>
      <c r="AP278" s="133"/>
      <c r="AQ278" s="133"/>
      <c r="AR278" s="133"/>
      <c r="AS278" s="133"/>
      <c r="AT278" s="133"/>
      <c r="AU278" s="133"/>
      <c r="AV278" s="132" t="s">
        <v>1153</v>
      </c>
      <c r="AW278" s="133"/>
      <c r="AX278" s="134">
        <f>'Stavební rozpočet'!F279</f>
        <v>10</v>
      </c>
      <c r="AY278" s="135"/>
      <c r="AZ278" s="135"/>
      <c r="BA278" s="135"/>
      <c r="BB278" s="135"/>
      <c r="BC278" s="134">
        <f>'Stavební rozpočet'!G279</f>
        <v>0</v>
      </c>
      <c r="BD278" s="135"/>
      <c r="BE278" s="135"/>
      <c r="BF278" s="135"/>
      <c r="BG278" s="135"/>
      <c r="BH278" s="135"/>
      <c r="BI278" s="135"/>
      <c r="BJ278" s="135"/>
      <c r="BK278" s="134">
        <f t="shared" si="17"/>
        <v>0</v>
      </c>
      <c r="BL278" s="135"/>
      <c r="BM278" s="135"/>
      <c r="BN278" s="135"/>
      <c r="BO278" s="135"/>
      <c r="BP278" s="135"/>
      <c r="BQ278" s="135"/>
      <c r="BR278" s="135"/>
      <c r="BS278" s="132" t="s">
        <v>1177</v>
      </c>
      <c r="BT278" s="133"/>
      <c r="BU278" s="133"/>
      <c r="BV278" s="133"/>
      <c r="BW278" s="133"/>
      <c r="BX278" s="133"/>
      <c r="IR278" s="46">
        <f t="shared" si="15"/>
        <v>0</v>
      </c>
      <c r="IS278" s="46">
        <f t="shared" si="16"/>
        <v>0</v>
      </c>
    </row>
    <row r="279" spans="1:253" ht="12.75">
      <c r="A279" s="132" t="s">
        <v>225</v>
      </c>
      <c r="B279" s="133"/>
      <c r="C279" s="132"/>
      <c r="D279" s="133"/>
      <c r="E279" s="133"/>
      <c r="F279" s="132" t="s">
        <v>598</v>
      </c>
      <c r="G279" s="133"/>
      <c r="H279" s="133"/>
      <c r="I279" s="133"/>
      <c r="J279" s="133"/>
      <c r="K279" s="133"/>
      <c r="L279" s="132" t="s">
        <v>992</v>
      </c>
      <c r="M279" s="133"/>
      <c r="N279" s="133"/>
      <c r="O279" s="133"/>
      <c r="P279" s="133"/>
      <c r="Q279" s="133"/>
      <c r="R279" s="133"/>
      <c r="S279" s="133"/>
      <c r="T279" s="133"/>
      <c r="U279" s="133"/>
      <c r="V279" s="133"/>
      <c r="W279" s="133"/>
      <c r="X279" s="133"/>
      <c r="Y279" s="133"/>
      <c r="Z279" s="133"/>
      <c r="AA279" s="133"/>
      <c r="AB279" s="133"/>
      <c r="AC279" s="133"/>
      <c r="AD279" s="133"/>
      <c r="AE279" s="133"/>
      <c r="AF279" s="133"/>
      <c r="AG279" s="133"/>
      <c r="AH279" s="133"/>
      <c r="AI279" s="133"/>
      <c r="AJ279" s="133"/>
      <c r="AK279" s="133"/>
      <c r="AL279" s="133"/>
      <c r="AM279" s="133"/>
      <c r="AN279" s="133"/>
      <c r="AO279" s="133"/>
      <c r="AP279" s="133"/>
      <c r="AQ279" s="133"/>
      <c r="AR279" s="133"/>
      <c r="AS279" s="133"/>
      <c r="AT279" s="133"/>
      <c r="AU279" s="133"/>
      <c r="AV279" s="132" t="s">
        <v>1153</v>
      </c>
      <c r="AW279" s="133"/>
      <c r="AX279" s="134">
        <f>'Stavební rozpočet'!F280</f>
        <v>1</v>
      </c>
      <c r="AY279" s="135"/>
      <c r="AZ279" s="135"/>
      <c r="BA279" s="135"/>
      <c r="BB279" s="135"/>
      <c r="BC279" s="134">
        <f>'Stavební rozpočet'!G280</f>
        <v>0</v>
      </c>
      <c r="BD279" s="135"/>
      <c r="BE279" s="135"/>
      <c r="BF279" s="135"/>
      <c r="BG279" s="135"/>
      <c r="BH279" s="135"/>
      <c r="BI279" s="135"/>
      <c r="BJ279" s="135"/>
      <c r="BK279" s="134">
        <f t="shared" si="17"/>
        <v>0</v>
      </c>
      <c r="BL279" s="135"/>
      <c r="BM279" s="135"/>
      <c r="BN279" s="135"/>
      <c r="BO279" s="135"/>
      <c r="BP279" s="135"/>
      <c r="BQ279" s="135"/>
      <c r="BR279" s="135"/>
      <c r="BS279" s="132" t="s">
        <v>1177</v>
      </c>
      <c r="BT279" s="133"/>
      <c r="BU279" s="133"/>
      <c r="BV279" s="133"/>
      <c r="BW279" s="133"/>
      <c r="BX279" s="133"/>
      <c r="IR279" s="46">
        <f t="shared" si="15"/>
        <v>0</v>
      </c>
      <c r="IS279" s="46">
        <f t="shared" si="16"/>
        <v>0</v>
      </c>
    </row>
    <row r="280" spans="1:253" ht="12.75">
      <c r="A280" s="132" t="s">
        <v>226</v>
      </c>
      <c r="B280" s="133"/>
      <c r="C280" s="132"/>
      <c r="D280" s="133"/>
      <c r="E280" s="133"/>
      <c r="F280" s="132" t="s">
        <v>599</v>
      </c>
      <c r="G280" s="133"/>
      <c r="H280" s="133"/>
      <c r="I280" s="133"/>
      <c r="J280" s="133"/>
      <c r="K280" s="133"/>
      <c r="L280" s="132" t="s">
        <v>993</v>
      </c>
      <c r="M280" s="133"/>
      <c r="N280" s="133"/>
      <c r="O280" s="133"/>
      <c r="P280" s="133"/>
      <c r="Q280" s="133"/>
      <c r="R280" s="133"/>
      <c r="S280" s="133"/>
      <c r="T280" s="133"/>
      <c r="U280" s="133"/>
      <c r="V280" s="133"/>
      <c r="W280" s="133"/>
      <c r="X280" s="133"/>
      <c r="Y280" s="133"/>
      <c r="Z280" s="133"/>
      <c r="AA280" s="133"/>
      <c r="AB280" s="133"/>
      <c r="AC280" s="133"/>
      <c r="AD280" s="133"/>
      <c r="AE280" s="133"/>
      <c r="AF280" s="133"/>
      <c r="AG280" s="133"/>
      <c r="AH280" s="133"/>
      <c r="AI280" s="133"/>
      <c r="AJ280" s="133"/>
      <c r="AK280" s="133"/>
      <c r="AL280" s="133"/>
      <c r="AM280" s="133"/>
      <c r="AN280" s="133"/>
      <c r="AO280" s="133"/>
      <c r="AP280" s="133"/>
      <c r="AQ280" s="133"/>
      <c r="AR280" s="133"/>
      <c r="AS280" s="133"/>
      <c r="AT280" s="133"/>
      <c r="AU280" s="133"/>
      <c r="AV280" s="132" t="s">
        <v>1159</v>
      </c>
      <c r="AW280" s="133"/>
      <c r="AX280" s="134">
        <f>'Stavební rozpočet'!F281</f>
        <v>1</v>
      </c>
      <c r="AY280" s="135"/>
      <c r="AZ280" s="135"/>
      <c r="BA280" s="135"/>
      <c r="BB280" s="135"/>
      <c r="BC280" s="134">
        <f>'Stavební rozpočet'!G281</f>
        <v>0</v>
      </c>
      <c r="BD280" s="135"/>
      <c r="BE280" s="135"/>
      <c r="BF280" s="135"/>
      <c r="BG280" s="135"/>
      <c r="BH280" s="135"/>
      <c r="BI280" s="135"/>
      <c r="BJ280" s="135"/>
      <c r="BK280" s="134">
        <f t="shared" si="17"/>
        <v>0</v>
      </c>
      <c r="BL280" s="135"/>
      <c r="BM280" s="135"/>
      <c r="BN280" s="135"/>
      <c r="BO280" s="135"/>
      <c r="BP280" s="135"/>
      <c r="BQ280" s="135"/>
      <c r="BR280" s="135"/>
      <c r="BS280" s="132" t="s">
        <v>1177</v>
      </c>
      <c r="BT280" s="133"/>
      <c r="BU280" s="133"/>
      <c r="BV280" s="133"/>
      <c r="BW280" s="133"/>
      <c r="BX280" s="133"/>
      <c r="IR280" s="46">
        <f t="shared" si="15"/>
        <v>0</v>
      </c>
      <c r="IS280" s="46">
        <f t="shared" si="16"/>
        <v>0</v>
      </c>
    </row>
    <row r="281" spans="1:253" ht="12.75">
      <c r="A281" s="132" t="s">
        <v>227</v>
      </c>
      <c r="B281" s="133"/>
      <c r="C281" s="132"/>
      <c r="D281" s="133"/>
      <c r="E281" s="133"/>
      <c r="F281" s="132" t="s">
        <v>600</v>
      </c>
      <c r="G281" s="133"/>
      <c r="H281" s="133"/>
      <c r="I281" s="133"/>
      <c r="J281" s="133"/>
      <c r="K281" s="133"/>
      <c r="L281" s="132" t="s">
        <v>994</v>
      </c>
      <c r="M281" s="133"/>
      <c r="N281" s="133"/>
      <c r="O281" s="133"/>
      <c r="P281" s="133"/>
      <c r="Q281" s="133"/>
      <c r="R281" s="133"/>
      <c r="S281" s="133"/>
      <c r="T281" s="133"/>
      <c r="U281" s="133"/>
      <c r="V281" s="133"/>
      <c r="W281" s="133"/>
      <c r="X281" s="133"/>
      <c r="Y281" s="133"/>
      <c r="Z281" s="133"/>
      <c r="AA281" s="133"/>
      <c r="AB281" s="133"/>
      <c r="AC281" s="133"/>
      <c r="AD281" s="133"/>
      <c r="AE281" s="133"/>
      <c r="AF281" s="133"/>
      <c r="AG281" s="133"/>
      <c r="AH281" s="133"/>
      <c r="AI281" s="133"/>
      <c r="AJ281" s="133"/>
      <c r="AK281" s="133"/>
      <c r="AL281" s="133"/>
      <c r="AM281" s="133"/>
      <c r="AN281" s="133"/>
      <c r="AO281" s="133"/>
      <c r="AP281" s="133"/>
      <c r="AQ281" s="133"/>
      <c r="AR281" s="133"/>
      <c r="AS281" s="133"/>
      <c r="AT281" s="133"/>
      <c r="AU281" s="133"/>
      <c r="AV281" s="132" t="s">
        <v>1153</v>
      </c>
      <c r="AW281" s="133"/>
      <c r="AX281" s="134">
        <f>'Stavební rozpočet'!F282</f>
        <v>9</v>
      </c>
      <c r="AY281" s="135"/>
      <c r="AZ281" s="135"/>
      <c r="BA281" s="135"/>
      <c r="BB281" s="135"/>
      <c r="BC281" s="134">
        <f>'Stavební rozpočet'!G282</f>
        <v>0</v>
      </c>
      <c r="BD281" s="135"/>
      <c r="BE281" s="135"/>
      <c r="BF281" s="135"/>
      <c r="BG281" s="135"/>
      <c r="BH281" s="135"/>
      <c r="BI281" s="135"/>
      <c r="BJ281" s="135"/>
      <c r="BK281" s="134">
        <f t="shared" si="17"/>
        <v>0</v>
      </c>
      <c r="BL281" s="135"/>
      <c r="BM281" s="135"/>
      <c r="BN281" s="135"/>
      <c r="BO281" s="135"/>
      <c r="BP281" s="135"/>
      <c r="BQ281" s="135"/>
      <c r="BR281" s="135"/>
      <c r="BS281" s="132" t="s">
        <v>1177</v>
      </c>
      <c r="BT281" s="133"/>
      <c r="BU281" s="133"/>
      <c r="BV281" s="133"/>
      <c r="BW281" s="133"/>
      <c r="BX281" s="133"/>
      <c r="IR281" s="46">
        <f t="shared" si="15"/>
        <v>0</v>
      </c>
      <c r="IS281" s="46">
        <f t="shared" si="16"/>
        <v>0</v>
      </c>
    </row>
    <row r="282" spans="1:253" ht="12.75">
      <c r="A282" s="132" t="s">
        <v>228</v>
      </c>
      <c r="B282" s="133"/>
      <c r="C282" s="132"/>
      <c r="D282" s="133"/>
      <c r="E282" s="133"/>
      <c r="F282" s="132" t="s">
        <v>601</v>
      </c>
      <c r="G282" s="133"/>
      <c r="H282" s="133"/>
      <c r="I282" s="133"/>
      <c r="J282" s="133"/>
      <c r="K282" s="133"/>
      <c r="L282" s="132" t="s">
        <v>995</v>
      </c>
      <c r="M282" s="133"/>
      <c r="N282" s="133"/>
      <c r="O282" s="133"/>
      <c r="P282" s="133"/>
      <c r="Q282" s="133"/>
      <c r="R282" s="133"/>
      <c r="S282" s="133"/>
      <c r="T282" s="133"/>
      <c r="U282" s="133"/>
      <c r="V282" s="133"/>
      <c r="W282" s="133"/>
      <c r="X282" s="133"/>
      <c r="Y282" s="133"/>
      <c r="Z282" s="133"/>
      <c r="AA282" s="133"/>
      <c r="AB282" s="133"/>
      <c r="AC282" s="133"/>
      <c r="AD282" s="133"/>
      <c r="AE282" s="133"/>
      <c r="AF282" s="133"/>
      <c r="AG282" s="133"/>
      <c r="AH282" s="133"/>
      <c r="AI282" s="133"/>
      <c r="AJ282" s="133"/>
      <c r="AK282" s="133"/>
      <c r="AL282" s="133"/>
      <c r="AM282" s="133"/>
      <c r="AN282" s="133"/>
      <c r="AO282" s="133"/>
      <c r="AP282" s="133"/>
      <c r="AQ282" s="133"/>
      <c r="AR282" s="133"/>
      <c r="AS282" s="133"/>
      <c r="AT282" s="133"/>
      <c r="AU282" s="133"/>
      <c r="AV282" s="132" t="s">
        <v>1153</v>
      </c>
      <c r="AW282" s="133"/>
      <c r="AX282" s="134">
        <f>'Stavební rozpočet'!F283</f>
        <v>9</v>
      </c>
      <c r="AY282" s="135"/>
      <c r="AZ282" s="135"/>
      <c r="BA282" s="135"/>
      <c r="BB282" s="135"/>
      <c r="BC282" s="134">
        <f>'Stavební rozpočet'!G283</f>
        <v>0</v>
      </c>
      <c r="BD282" s="135"/>
      <c r="BE282" s="135"/>
      <c r="BF282" s="135"/>
      <c r="BG282" s="135"/>
      <c r="BH282" s="135"/>
      <c r="BI282" s="135"/>
      <c r="BJ282" s="135"/>
      <c r="BK282" s="134">
        <f t="shared" si="17"/>
        <v>0</v>
      </c>
      <c r="BL282" s="135"/>
      <c r="BM282" s="135"/>
      <c r="BN282" s="135"/>
      <c r="BO282" s="135"/>
      <c r="BP282" s="135"/>
      <c r="BQ282" s="135"/>
      <c r="BR282" s="135"/>
      <c r="BS282" s="132" t="s">
        <v>1177</v>
      </c>
      <c r="BT282" s="133"/>
      <c r="BU282" s="133"/>
      <c r="BV282" s="133"/>
      <c r="BW282" s="133"/>
      <c r="BX282" s="133"/>
      <c r="IR282" s="46">
        <f t="shared" si="15"/>
        <v>0</v>
      </c>
      <c r="IS282" s="46">
        <f t="shared" si="16"/>
        <v>0</v>
      </c>
    </row>
    <row r="283" spans="1:253" ht="12.75">
      <c r="A283" s="132" t="s">
        <v>229</v>
      </c>
      <c r="B283" s="133"/>
      <c r="C283" s="132"/>
      <c r="D283" s="133"/>
      <c r="E283" s="133"/>
      <c r="F283" s="132" t="s">
        <v>602</v>
      </c>
      <c r="G283" s="133"/>
      <c r="H283" s="133"/>
      <c r="I283" s="133"/>
      <c r="J283" s="133"/>
      <c r="K283" s="133"/>
      <c r="L283" s="132" t="s">
        <v>996</v>
      </c>
      <c r="M283" s="133"/>
      <c r="N283" s="133"/>
      <c r="O283" s="133"/>
      <c r="P283" s="133"/>
      <c r="Q283" s="133"/>
      <c r="R283" s="133"/>
      <c r="S283" s="133"/>
      <c r="T283" s="133"/>
      <c r="U283" s="133"/>
      <c r="V283" s="133"/>
      <c r="W283" s="133"/>
      <c r="X283" s="133"/>
      <c r="Y283" s="133"/>
      <c r="Z283" s="133"/>
      <c r="AA283" s="133"/>
      <c r="AB283" s="133"/>
      <c r="AC283" s="133"/>
      <c r="AD283" s="133"/>
      <c r="AE283" s="133"/>
      <c r="AF283" s="133"/>
      <c r="AG283" s="133"/>
      <c r="AH283" s="133"/>
      <c r="AI283" s="133"/>
      <c r="AJ283" s="133"/>
      <c r="AK283" s="133"/>
      <c r="AL283" s="133"/>
      <c r="AM283" s="133"/>
      <c r="AN283" s="133"/>
      <c r="AO283" s="133"/>
      <c r="AP283" s="133"/>
      <c r="AQ283" s="133"/>
      <c r="AR283" s="133"/>
      <c r="AS283" s="133"/>
      <c r="AT283" s="133"/>
      <c r="AU283" s="133"/>
      <c r="AV283" s="132" t="s">
        <v>1153</v>
      </c>
      <c r="AW283" s="133"/>
      <c r="AX283" s="134">
        <f>'Stavební rozpočet'!F284</f>
        <v>1</v>
      </c>
      <c r="AY283" s="135"/>
      <c r="AZ283" s="135"/>
      <c r="BA283" s="135"/>
      <c r="BB283" s="135"/>
      <c r="BC283" s="134">
        <f>'Stavební rozpočet'!G284</f>
        <v>0</v>
      </c>
      <c r="BD283" s="135"/>
      <c r="BE283" s="135"/>
      <c r="BF283" s="135"/>
      <c r="BG283" s="135"/>
      <c r="BH283" s="135"/>
      <c r="BI283" s="135"/>
      <c r="BJ283" s="135"/>
      <c r="BK283" s="134">
        <f t="shared" si="17"/>
        <v>0</v>
      </c>
      <c r="BL283" s="135"/>
      <c r="BM283" s="135"/>
      <c r="BN283" s="135"/>
      <c r="BO283" s="135"/>
      <c r="BP283" s="135"/>
      <c r="BQ283" s="135"/>
      <c r="BR283" s="135"/>
      <c r="BS283" s="132" t="s">
        <v>1177</v>
      </c>
      <c r="BT283" s="133"/>
      <c r="BU283" s="133"/>
      <c r="BV283" s="133"/>
      <c r="BW283" s="133"/>
      <c r="BX283" s="133"/>
      <c r="IR283" s="46">
        <f t="shared" si="15"/>
        <v>0</v>
      </c>
      <c r="IS283" s="46">
        <f t="shared" si="16"/>
        <v>0</v>
      </c>
    </row>
    <row r="284" spans="1:253" ht="12.75">
      <c r="A284" s="132" t="s">
        <v>230</v>
      </c>
      <c r="B284" s="133"/>
      <c r="C284" s="132"/>
      <c r="D284" s="133"/>
      <c r="E284" s="133"/>
      <c r="F284" s="132" t="s">
        <v>603</v>
      </c>
      <c r="G284" s="133"/>
      <c r="H284" s="133"/>
      <c r="I284" s="133"/>
      <c r="J284" s="133"/>
      <c r="K284" s="133"/>
      <c r="L284" s="132" t="s">
        <v>997</v>
      </c>
      <c r="M284" s="133"/>
      <c r="N284" s="133"/>
      <c r="O284" s="133"/>
      <c r="P284" s="133"/>
      <c r="Q284" s="133"/>
      <c r="R284" s="133"/>
      <c r="S284" s="133"/>
      <c r="T284" s="133"/>
      <c r="U284" s="133"/>
      <c r="V284" s="133"/>
      <c r="W284" s="133"/>
      <c r="X284" s="133"/>
      <c r="Y284" s="133"/>
      <c r="Z284" s="133"/>
      <c r="AA284" s="133"/>
      <c r="AB284" s="133"/>
      <c r="AC284" s="133"/>
      <c r="AD284" s="133"/>
      <c r="AE284" s="133"/>
      <c r="AF284" s="133"/>
      <c r="AG284" s="133"/>
      <c r="AH284" s="133"/>
      <c r="AI284" s="133"/>
      <c r="AJ284" s="133"/>
      <c r="AK284" s="133"/>
      <c r="AL284" s="133"/>
      <c r="AM284" s="133"/>
      <c r="AN284" s="133"/>
      <c r="AO284" s="133"/>
      <c r="AP284" s="133"/>
      <c r="AQ284" s="133"/>
      <c r="AR284" s="133"/>
      <c r="AS284" s="133"/>
      <c r="AT284" s="133"/>
      <c r="AU284" s="133"/>
      <c r="AV284" s="132" t="s">
        <v>1153</v>
      </c>
      <c r="AW284" s="133"/>
      <c r="AX284" s="134">
        <f>'Stavební rozpočet'!F285</f>
        <v>1</v>
      </c>
      <c r="AY284" s="135"/>
      <c r="AZ284" s="135"/>
      <c r="BA284" s="135"/>
      <c r="BB284" s="135"/>
      <c r="BC284" s="134">
        <f>'Stavební rozpočet'!G285</f>
        <v>0</v>
      </c>
      <c r="BD284" s="135"/>
      <c r="BE284" s="135"/>
      <c r="BF284" s="135"/>
      <c r="BG284" s="135"/>
      <c r="BH284" s="135"/>
      <c r="BI284" s="135"/>
      <c r="BJ284" s="135"/>
      <c r="BK284" s="134">
        <f t="shared" si="17"/>
        <v>0</v>
      </c>
      <c r="BL284" s="135"/>
      <c r="BM284" s="135"/>
      <c r="BN284" s="135"/>
      <c r="BO284" s="135"/>
      <c r="BP284" s="135"/>
      <c r="BQ284" s="135"/>
      <c r="BR284" s="135"/>
      <c r="BS284" s="132" t="s">
        <v>1177</v>
      </c>
      <c r="BT284" s="133"/>
      <c r="BU284" s="133"/>
      <c r="BV284" s="133"/>
      <c r="BW284" s="133"/>
      <c r="BX284" s="133"/>
      <c r="IR284" s="46">
        <f t="shared" si="15"/>
        <v>0</v>
      </c>
      <c r="IS284" s="46">
        <f t="shared" si="16"/>
        <v>0</v>
      </c>
    </row>
    <row r="285" spans="1:253" ht="12.75">
      <c r="A285" s="132" t="s">
        <v>231</v>
      </c>
      <c r="B285" s="133"/>
      <c r="C285" s="132"/>
      <c r="D285" s="133"/>
      <c r="E285" s="133"/>
      <c r="F285" s="132" t="s">
        <v>604</v>
      </c>
      <c r="G285" s="133"/>
      <c r="H285" s="133"/>
      <c r="I285" s="133"/>
      <c r="J285" s="133"/>
      <c r="K285" s="133"/>
      <c r="L285" s="132" t="s">
        <v>998</v>
      </c>
      <c r="M285" s="133"/>
      <c r="N285" s="133"/>
      <c r="O285" s="133"/>
      <c r="P285" s="133"/>
      <c r="Q285" s="133"/>
      <c r="R285" s="133"/>
      <c r="S285" s="133"/>
      <c r="T285" s="133"/>
      <c r="U285" s="133"/>
      <c r="V285" s="133"/>
      <c r="W285" s="133"/>
      <c r="X285" s="133"/>
      <c r="Y285" s="133"/>
      <c r="Z285" s="133"/>
      <c r="AA285" s="133"/>
      <c r="AB285" s="133"/>
      <c r="AC285" s="133"/>
      <c r="AD285" s="133"/>
      <c r="AE285" s="133"/>
      <c r="AF285" s="133"/>
      <c r="AG285" s="133"/>
      <c r="AH285" s="133"/>
      <c r="AI285" s="133"/>
      <c r="AJ285" s="133"/>
      <c r="AK285" s="133"/>
      <c r="AL285" s="133"/>
      <c r="AM285" s="133"/>
      <c r="AN285" s="133"/>
      <c r="AO285" s="133"/>
      <c r="AP285" s="133"/>
      <c r="AQ285" s="133"/>
      <c r="AR285" s="133"/>
      <c r="AS285" s="133"/>
      <c r="AT285" s="133"/>
      <c r="AU285" s="133"/>
      <c r="AV285" s="132" t="s">
        <v>1153</v>
      </c>
      <c r="AW285" s="133"/>
      <c r="AX285" s="134">
        <f>'Stavební rozpočet'!F286</f>
        <v>1</v>
      </c>
      <c r="AY285" s="135"/>
      <c r="AZ285" s="135"/>
      <c r="BA285" s="135"/>
      <c r="BB285" s="135"/>
      <c r="BC285" s="134">
        <f>'Stavební rozpočet'!G286</f>
        <v>0</v>
      </c>
      <c r="BD285" s="135"/>
      <c r="BE285" s="135"/>
      <c r="BF285" s="135"/>
      <c r="BG285" s="135"/>
      <c r="BH285" s="135"/>
      <c r="BI285" s="135"/>
      <c r="BJ285" s="135"/>
      <c r="BK285" s="134">
        <f t="shared" si="17"/>
        <v>0</v>
      </c>
      <c r="BL285" s="135"/>
      <c r="BM285" s="135"/>
      <c r="BN285" s="135"/>
      <c r="BO285" s="135"/>
      <c r="BP285" s="135"/>
      <c r="BQ285" s="135"/>
      <c r="BR285" s="135"/>
      <c r="BS285" s="132" t="s">
        <v>1177</v>
      </c>
      <c r="BT285" s="133"/>
      <c r="BU285" s="133"/>
      <c r="BV285" s="133"/>
      <c r="BW285" s="133"/>
      <c r="BX285" s="133"/>
      <c r="IR285" s="46">
        <f aca="true" t="shared" si="18" ref="IR285:IR311">BC285*0</f>
        <v>0</v>
      </c>
      <c r="IS285" s="46">
        <f aca="true" t="shared" si="19" ref="IS285:IS311">BC285*(1-0)</f>
        <v>0</v>
      </c>
    </row>
    <row r="286" spans="1:253" ht="12.75">
      <c r="A286" s="132" t="s">
        <v>232</v>
      </c>
      <c r="B286" s="133"/>
      <c r="C286" s="132"/>
      <c r="D286" s="133"/>
      <c r="E286" s="133"/>
      <c r="F286" s="132" t="s">
        <v>605</v>
      </c>
      <c r="G286" s="133"/>
      <c r="H286" s="133"/>
      <c r="I286" s="133"/>
      <c r="J286" s="133"/>
      <c r="K286" s="133"/>
      <c r="L286" s="132" t="s">
        <v>999</v>
      </c>
      <c r="M286" s="133"/>
      <c r="N286" s="133"/>
      <c r="O286" s="133"/>
      <c r="P286" s="133"/>
      <c r="Q286" s="133"/>
      <c r="R286" s="133"/>
      <c r="S286" s="133"/>
      <c r="T286" s="133"/>
      <c r="U286" s="133"/>
      <c r="V286" s="133"/>
      <c r="W286" s="133"/>
      <c r="X286" s="133"/>
      <c r="Y286" s="133"/>
      <c r="Z286" s="133"/>
      <c r="AA286" s="133"/>
      <c r="AB286" s="133"/>
      <c r="AC286" s="133"/>
      <c r="AD286" s="133"/>
      <c r="AE286" s="133"/>
      <c r="AF286" s="133"/>
      <c r="AG286" s="133"/>
      <c r="AH286" s="133"/>
      <c r="AI286" s="133"/>
      <c r="AJ286" s="133"/>
      <c r="AK286" s="133"/>
      <c r="AL286" s="133"/>
      <c r="AM286" s="133"/>
      <c r="AN286" s="133"/>
      <c r="AO286" s="133"/>
      <c r="AP286" s="133"/>
      <c r="AQ286" s="133"/>
      <c r="AR286" s="133"/>
      <c r="AS286" s="133"/>
      <c r="AT286" s="133"/>
      <c r="AU286" s="133"/>
      <c r="AV286" s="132" t="s">
        <v>1153</v>
      </c>
      <c r="AW286" s="133"/>
      <c r="AX286" s="134">
        <f>'Stavební rozpočet'!F287</f>
        <v>1</v>
      </c>
      <c r="AY286" s="135"/>
      <c r="AZ286" s="135"/>
      <c r="BA286" s="135"/>
      <c r="BB286" s="135"/>
      <c r="BC286" s="134">
        <f>'Stavební rozpočet'!G287</f>
        <v>0</v>
      </c>
      <c r="BD286" s="135"/>
      <c r="BE286" s="135"/>
      <c r="BF286" s="135"/>
      <c r="BG286" s="135"/>
      <c r="BH286" s="135"/>
      <c r="BI286" s="135"/>
      <c r="BJ286" s="135"/>
      <c r="BK286" s="134">
        <f t="shared" si="17"/>
        <v>0</v>
      </c>
      <c r="BL286" s="135"/>
      <c r="BM286" s="135"/>
      <c r="BN286" s="135"/>
      <c r="BO286" s="135"/>
      <c r="BP286" s="135"/>
      <c r="BQ286" s="135"/>
      <c r="BR286" s="135"/>
      <c r="BS286" s="132" t="s">
        <v>1177</v>
      </c>
      <c r="BT286" s="133"/>
      <c r="BU286" s="133"/>
      <c r="BV286" s="133"/>
      <c r="BW286" s="133"/>
      <c r="BX286" s="133"/>
      <c r="IR286" s="46">
        <f t="shared" si="18"/>
        <v>0</v>
      </c>
      <c r="IS286" s="46">
        <f t="shared" si="19"/>
        <v>0</v>
      </c>
    </row>
    <row r="287" spans="1:253" ht="12.75">
      <c r="A287" s="132" t="s">
        <v>233</v>
      </c>
      <c r="B287" s="133"/>
      <c r="C287" s="132"/>
      <c r="D287" s="133"/>
      <c r="E287" s="133"/>
      <c r="F287" s="132" t="s">
        <v>606</v>
      </c>
      <c r="G287" s="133"/>
      <c r="H287" s="133"/>
      <c r="I287" s="133"/>
      <c r="J287" s="133"/>
      <c r="K287" s="133"/>
      <c r="L287" s="132" t="s">
        <v>1000</v>
      </c>
      <c r="M287" s="133"/>
      <c r="N287" s="133"/>
      <c r="O287" s="133"/>
      <c r="P287" s="133"/>
      <c r="Q287" s="133"/>
      <c r="R287" s="133"/>
      <c r="S287" s="133"/>
      <c r="T287" s="133"/>
      <c r="U287" s="133"/>
      <c r="V287" s="133"/>
      <c r="W287" s="133"/>
      <c r="X287" s="133"/>
      <c r="Y287" s="133"/>
      <c r="Z287" s="133"/>
      <c r="AA287" s="133"/>
      <c r="AB287" s="133"/>
      <c r="AC287" s="133"/>
      <c r="AD287" s="133"/>
      <c r="AE287" s="133"/>
      <c r="AF287" s="133"/>
      <c r="AG287" s="133"/>
      <c r="AH287" s="133"/>
      <c r="AI287" s="133"/>
      <c r="AJ287" s="133"/>
      <c r="AK287" s="133"/>
      <c r="AL287" s="133"/>
      <c r="AM287" s="133"/>
      <c r="AN287" s="133"/>
      <c r="AO287" s="133"/>
      <c r="AP287" s="133"/>
      <c r="AQ287" s="133"/>
      <c r="AR287" s="133"/>
      <c r="AS287" s="133"/>
      <c r="AT287" s="133"/>
      <c r="AU287" s="133"/>
      <c r="AV287" s="132" t="s">
        <v>1153</v>
      </c>
      <c r="AW287" s="133"/>
      <c r="AX287" s="134">
        <f>'Stavební rozpočet'!F288</f>
        <v>2</v>
      </c>
      <c r="AY287" s="135"/>
      <c r="AZ287" s="135"/>
      <c r="BA287" s="135"/>
      <c r="BB287" s="135"/>
      <c r="BC287" s="134">
        <f>'Stavební rozpočet'!G288</f>
        <v>0</v>
      </c>
      <c r="BD287" s="135"/>
      <c r="BE287" s="135"/>
      <c r="BF287" s="135"/>
      <c r="BG287" s="135"/>
      <c r="BH287" s="135"/>
      <c r="BI287" s="135"/>
      <c r="BJ287" s="135"/>
      <c r="BK287" s="134">
        <f t="shared" si="17"/>
        <v>0</v>
      </c>
      <c r="BL287" s="135"/>
      <c r="BM287" s="135"/>
      <c r="BN287" s="135"/>
      <c r="BO287" s="135"/>
      <c r="BP287" s="135"/>
      <c r="BQ287" s="135"/>
      <c r="BR287" s="135"/>
      <c r="BS287" s="132" t="s">
        <v>1177</v>
      </c>
      <c r="BT287" s="133"/>
      <c r="BU287" s="133"/>
      <c r="BV287" s="133"/>
      <c r="BW287" s="133"/>
      <c r="BX287" s="133"/>
      <c r="IR287" s="46">
        <f t="shared" si="18"/>
        <v>0</v>
      </c>
      <c r="IS287" s="46">
        <f t="shared" si="19"/>
        <v>0</v>
      </c>
    </row>
    <row r="288" spans="1:253" ht="12.75">
      <c r="A288" s="132" t="s">
        <v>234</v>
      </c>
      <c r="B288" s="133"/>
      <c r="C288" s="132"/>
      <c r="D288" s="133"/>
      <c r="E288" s="133"/>
      <c r="F288" s="132" t="s">
        <v>607</v>
      </c>
      <c r="G288" s="133"/>
      <c r="H288" s="133"/>
      <c r="I288" s="133"/>
      <c r="J288" s="133"/>
      <c r="K288" s="133"/>
      <c r="L288" s="132" t="s">
        <v>1001</v>
      </c>
      <c r="M288" s="133"/>
      <c r="N288" s="133"/>
      <c r="O288" s="133"/>
      <c r="P288" s="133"/>
      <c r="Q288" s="133"/>
      <c r="R288" s="133"/>
      <c r="S288" s="133"/>
      <c r="T288" s="133"/>
      <c r="U288" s="133"/>
      <c r="V288" s="133"/>
      <c r="W288" s="133"/>
      <c r="X288" s="133"/>
      <c r="Y288" s="133"/>
      <c r="Z288" s="133"/>
      <c r="AA288" s="133"/>
      <c r="AB288" s="133"/>
      <c r="AC288" s="133"/>
      <c r="AD288" s="133"/>
      <c r="AE288" s="133"/>
      <c r="AF288" s="133"/>
      <c r="AG288" s="133"/>
      <c r="AH288" s="133"/>
      <c r="AI288" s="133"/>
      <c r="AJ288" s="133"/>
      <c r="AK288" s="133"/>
      <c r="AL288" s="133"/>
      <c r="AM288" s="133"/>
      <c r="AN288" s="133"/>
      <c r="AO288" s="133"/>
      <c r="AP288" s="133"/>
      <c r="AQ288" s="133"/>
      <c r="AR288" s="133"/>
      <c r="AS288" s="133"/>
      <c r="AT288" s="133"/>
      <c r="AU288" s="133"/>
      <c r="AV288" s="132" t="s">
        <v>1153</v>
      </c>
      <c r="AW288" s="133"/>
      <c r="AX288" s="134">
        <f>'Stavební rozpočet'!F289</f>
        <v>2</v>
      </c>
      <c r="AY288" s="135"/>
      <c r="AZ288" s="135"/>
      <c r="BA288" s="135"/>
      <c r="BB288" s="135"/>
      <c r="BC288" s="134">
        <f>'Stavební rozpočet'!G289</f>
        <v>0</v>
      </c>
      <c r="BD288" s="135"/>
      <c r="BE288" s="135"/>
      <c r="BF288" s="135"/>
      <c r="BG288" s="135"/>
      <c r="BH288" s="135"/>
      <c r="BI288" s="135"/>
      <c r="BJ288" s="135"/>
      <c r="BK288" s="134">
        <f t="shared" si="17"/>
        <v>0</v>
      </c>
      <c r="BL288" s="135"/>
      <c r="BM288" s="135"/>
      <c r="BN288" s="135"/>
      <c r="BO288" s="135"/>
      <c r="BP288" s="135"/>
      <c r="BQ288" s="135"/>
      <c r="BR288" s="135"/>
      <c r="BS288" s="132" t="s">
        <v>1177</v>
      </c>
      <c r="BT288" s="133"/>
      <c r="BU288" s="133"/>
      <c r="BV288" s="133"/>
      <c r="BW288" s="133"/>
      <c r="BX288" s="133"/>
      <c r="IR288" s="46">
        <f t="shared" si="18"/>
        <v>0</v>
      </c>
      <c r="IS288" s="46">
        <f t="shared" si="19"/>
        <v>0</v>
      </c>
    </row>
    <row r="289" spans="1:253" ht="12.75">
      <c r="A289" s="132" t="s">
        <v>235</v>
      </c>
      <c r="B289" s="133"/>
      <c r="C289" s="132"/>
      <c r="D289" s="133"/>
      <c r="E289" s="133"/>
      <c r="F289" s="132" t="s">
        <v>608</v>
      </c>
      <c r="G289" s="133"/>
      <c r="H289" s="133"/>
      <c r="I289" s="133"/>
      <c r="J289" s="133"/>
      <c r="K289" s="133"/>
      <c r="L289" s="132" t="s">
        <v>1002</v>
      </c>
      <c r="M289" s="133"/>
      <c r="N289" s="133"/>
      <c r="O289" s="133"/>
      <c r="P289" s="133"/>
      <c r="Q289" s="133"/>
      <c r="R289" s="133"/>
      <c r="S289" s="133"/>
      <c r="T289" s="133"/>
      <c r="U289" s="133"/>
      <c r="V289" s="133"/>
      <c r="W289" s="133"/>
      <c r="X289" s="133"/>
      <c r="Y289" s="133"/>
      <c r="Z289" s="133"/>
      <c r="AA289" s="133"/>
      <c r="AB289" s="133"/>
      <c r="AC289" s="133"/>
      <c r="AD289" s="133"/>
      <c r="AE289" s="133"/>
      <c r="AF289" s="133"/>
      <c r="AG289" s="133"/>
      <c r="AH289" s="133"/>
      <c r="AI289" s="133"/>
      <c r="AJ289" s="133"/>
      <c r="AK289" s="133"/>
      <c r="AL289" s="133"/>
      <c r="AM289" s="133"/>
      <c r="AN289" s="133"/>
      <c r="AO289" s="133"/>
      <c r="AP289" s="133"/>
      <c r="AQ289" s="133"/>
      <c r="AR289" s="133"/>
      <c r="AS289" s="133"/>
      <c r="AT289" s="133"/>
      <c r="AU289" s="133"/>
      <c r="AV289" s="132" t="s">
        <v>1153</v>
      </c>
      <c r="AW289" s="133"/>
      <c r="AX289" s="134">
        <f>'Stavební rozpočet'!F290</f>
        <v>1</v>
      </c>
      <c r="AY289" s="135"/>
      <c r="AZ289" s="135"/>
      <c r="BA289" s="135"/>
      <c r="BB289" s="135"/>
      <c r="BC289" s="134">
        <f>'Stavební rozpočet'!G290</f>
        <v>0</v>
      </c>
      <c r="BD289" s="135"/>
      <c r="BE289" s="135"/>
      <c r="BF289" s="135"/>
      <c r="BG289" s="135"/>
      <c r="BH289" s="135"/>
      <c r="BI289" s="135"/>
      <c r="BJ289" s="135"/>
      <c r="BK289" s="134">
        <f t="shared" si="17"/>
        <v>0</v>
      </c>
      <c r="BL289" s="135"/>
      <c r="BM289" s="135"/>
      <c r="BN289" s="135"/>
      <c r="BO289" s="135"/>
      <c r="BP289" s="135"/>
      <c r="BQ289" s="135"/>
      <c r="BR289" s="135"/>
      <c r="BS289" s="132" t="s">
        <v>1177</v>
      </c>
      <c r="BT289" s="133"/>
      <c r="BU289" s="133"/>
      <c r="BV289" s="133"/>
      <c r="BW289" s="133"/>
      <c r="BX289" s="133"/>
      <c r="IR289" s="46">
        <f t="shared" si="18"/>
        <v>0</v>
      </c>
      <c r="IS289" s="46">
        <f t="shared" si="19"/>
        <v>0</v>
      </c>
    </row>
    <row r="290" spans="1:253" ht="12.75">
      <c r="A290" s="132" t="s">
        <v>236</v>
      </c>
      <c r="B290" s="133"/>
      <c r="C290" s="132"/>
      <c r="D290" s="133"/>
      <c r="E290" s="133"/>
      <c r="F290" s="132" t="s">
        <v>609</v>
      </c>
      <c r="G290" s="133"/>
      <c r="H290" s="133"/>
      <c r="I290" s="133"/>
      <c r="J290" s="133"/>
      <c r="K290" s="133"/>
      <c r="L290" s="132" t="s">
        <v>1003</v>
      </c>
      <c r="M290" s="133"/>
      <c r="N290" s="133"/>
      <c r="O290" s="133"/>
      <c r="P290" s="133"/>
      <c r="Q290" s="133"/>
      <c r="R290" s="133"/>
      <c r="S290" s="133"/>
      <c r="T290" s="133"/>
      <c r="U290" s="133"/>
      <c r="V290" s="133"/>
      <c r="W290" s="133"/>
      <c r="X290" s="133"/>
      <c r="Y290" s="133"/>
      <c r="Z290" s="133"/>
      <c r="AA290" s="133"/>
      <c r="AB290" s="133"/>
      <c r="AC290" s="133"/>
      <c r="AD290" s="133"/>
      <c r="AE290" s="133"/>
      <c r="AF290" s="133"/>
      <c r="AG290" s="133"/>
      <c r="AH290" s="133"/>
      <c r="AI290" s="133"/>
      <c r="AJ290" s="133"/>
      <c r="AK290" s="133"/>
      <c r="AL290" s="133"/>
      <c r="AM290" s="133"/>
      <c r="AN290" s="133"/>
      <c r="AO290" s="133"/>
      <c r="AP290" s="133"/>
      <c r="AQ290" s="133"/>
      <c r="AR290" s="133"/>
      <c r="AS290" s="133"/>
      <c r="AT290" s="133"/>
      <c r="AU290" s="133"/>
      <c r="AV290" s="132" t="s">
        <v>1153</v>
      </c>
      <c r="AW290" s="133"/>
      <c r="AX290" s="134">
        <f>'Stavební rozpočet'!F291</f>
        <v>48</v>
      </c>
      <c r="AY290" s="135"/>
      <c r="AZ290" s="135"/>
      <c r="BA290" s="135"/>
      <c r="BB290" s="135"/>
      <c r="BC290" s="134">
        <f>'Stavební rozpočet'!G291</f>
        <v>0</v>
      </c>
      <c r="BD290" s="135"/>
      <c r="BE290" s="135"/>
      <c r="BF290" s="135"/>
      <c r="BG290" s="135"/>
      <c r="BH290" s="135"/>
      <c r="BI290" s="135"/>
      <c r="BJ290" s="135"/>
      <c r="BK290" s="134">
        <f t="shared" si="17"/>
        <v>0</v>
      </c>
      <c r="BL290" s="135"/>
      <c r="BM290" s="135"/>
      <c r="BN290" s="135"/>
      <c r="BO290" s="135"/>
      <c r="BP290" s="135"/>
      <c r="BQ290" s="135"/>
      <c r="BR290" s="135"/>
      <c r="BS290" s="132" t="s">
        <v>1177</v>
      </c>
      <c r="BT290" s="133"/>
      <c r="BU290" s="133"/>
      <c r="BV290" s="133"/>
      <c r="BW290" s="133"/>
      <c r="BX290" s="133"/>
      <c r="IR290" s="46">
        <f t="shared" si="18"/>
        <v>0</v>
      </c>
      <c r="IS290" s="46">
        <f t="shared" si="19"/>
        <v>0</v>
      </c>
    </row>
    <row r="291" spans="1:253" ht="12.75">
      <c r="A291" s="132" t="s">
        <v>237</v>
      </c>
      <c r="B291" s="133"/>
      <c r="C291" s="132"/>
      <c r="D291" s="133"/>
      <c r="E291" s="133"/>
      <c r="F291" s="132" t="s">
        <v>610</v>
      </c>
      <c r="G291" s="133"/>
      <c r="H291" s="133"/>
      <c r="I291" s="133"/>
      <c r="J291" s="133"/>
      <c r="K291" s="133"/>
      <c r="L291" s="132" t="s">
        <v>1004</v>
      </c>
      <c r="M291" s="133"/>
      <c r="N291" s="133"/>
      <c r="O291" s="133"/>
      <c r="P291" s="133"/>
      <c r="Q291" s="133"/>
      <c r="R291" s="133"/>
      <c r="S291" s="133"/>
      <c r="T291" s="133"/>
      <c r="U291" s="133"/>
      <c r="V291" s="133"/>
      <c r="W291" s="133"/>
      <c r="X291" s="133"/>
      <c r="Y291" s="133"/>
      <c r="Z291" s="133"/>
      <c r="AA291" s="133"/>
      <c r="AB291" s="133"/>
      <c r="AC291" s="133"/>
      <c r="AD291" s="133"/>
      <c r="AE291" s="133"/>
      <c r="AF291" s="133"/>
      <c r="AG291" s="133"/>
      <c r="AH291" s="133"/>
      <c r="AI291" s="133"/>
      <c r="AJ291" s="133"/>
      <c r="AK291" s="133"/>
      <c r="AL291" s="133"/>
      <c r="AM291" s="133"/>
      <c r="AN291" s="133"/>
      <c r="AO291" s="133"/>
      <c r="AP291" s="133"/>
      <c r="AQ291" s="133"/>
      <c r="AR291" s="133"/>
      <c r="AS291" s="133"/>
      <c r="AT291" s="133"/>
      <c r="AU291" s="133"/>
      <c r="AV291" s="132" t="s">
        <v>1153</v>
      </c>
      <c r="AW291" s="133"/>
      <c r="AX291" s="134">
        <f>'Stavební rozpočet'!F292</f>
        <v>6</v>
      </c>
      <c r="AY291" s="135"/>
      <c r="AZ291" s="135"/>
      <c r="BA291" s="135"/>
      <c r="BB291" s="135"/>
      <c r="BC291" s="134">
        <f>'Stavební rozpočet'!G292</f>
        <v>0</v>
      </c>
      <c r="BD291" s="135"/>
      <c r="BE291" s="135"/>
      <c r="BF291" s="135"/>
      <c r="BG291" s="135"/>
      <c r="BH291" s="135"/>
      <c r="BI291" s="135"/>
      <c r="BJ291" s="135"/>
      <c r="BK291" s="134">
        <f t="shared" si="17"/>
        <v>0</v>
      </c>
      <c r="BL291" s="135"/>
      <c r="BM291" s="135"/>
      <c r="BN291" s="135"/>
      <c r="BO291" s="135"/>
      <c r="BP291" s="135"/>
      <c r="BQ291" s="135"/>
      <c r="BR291" s="135"/>
      <c r="BS291" s="132" t="s">
        <v>1177</v>
      </c>
      <c r="BT291" s="133"/>
      <c r="BU291" s="133"/>
      <c r="BV291" s="133"/>
      <c r="BW291" s="133"/>
      <c r="BX291" s="133"/>
      <c r="IR291" s="46">
        <f t="shared" si="18"/>
        <v>0</v>
      </c>
      <c r="IS291" s="46">
        <f t="shared" si="19"/>
        <v>0</v>
      </c>
    </row>
    <row r="292" spans="1:253" ht="12.75">
      <c r="A292" s="132" t="s">
        <v>238</v>
      </c>
      <c r="B292" s="133"/>
      <c r="C292" s="132"/>
      <c r="D292" s="133"/>
      <c r="E292" s="133"/>
      <c r="F292" s="132" t="s">
        <v>611</v>
      </c>
      <c r="G292" s="133"/>
      <c r="H292" s="133"/>
      <c r="I292" s="133"/>
      <c r="J292" s="133"/>
      <c r="K292" s="133"/>
      <c r="L292" s="132" t="s">
        <v>1005</v>
      </c>
      <c r="M292" s="133"/>
      <c r="N292" s="133"/>
      <c r="O292" s="133"/>
      <c r="P292" s="133"/>
      <c r="Q292" s="133"/>
      <c r="R292" s="133"/>
      <c r="S292" s="133"/>
      <c r="T292" s="133"/>
      <c r="U292" s="133"/>
      <c r="V292" s="133"/>
      <c r="W292" s="133"/>
      <c r="X292" s="133"/>
      <c r="Y292" s="133"/>
      <c r="Z292" s="133"/>
      <c r="AA292" s="133"/>
      <c r="AB292" s="133"/>
      <c r="AC292" s="133"/>
      <c r="AD292" s="133"/>
      <c r="AE292" s="133"/>
      <c r="AF292" s="133"/>
      <c r="AG292" s="133"/>
      <c r="AH292" s="133"/>
      <c r="AI292" s="133"/>
      <c r="AJ292" s="133"/>
      <c r="AK292" s="133"/>
      <c r="AL292" s="133"/>
      <c r="AM292" s="133"/>
      <c r="AN292" s="133"/>
      <c r="AO292" s="133"/>
      <c r="AP292" s="133"/>
      <c r="AQ292" s="133"/>
      <c r="AR292" s="133"/>
      <c r="AS292" s="133"/>
      <c r="AT292" s="133"/>
      <c r="AU292" s="133"/>
      <c r="AV292" s="132" t="s">
        <v>1153</v>
      </c>
      <c r="AW292" s="133"/>
      <c r="AX292" s="134">
        <f>'Stavební rozpočet'!F293</f>
        <v>12</v>
      </c>
      <c r="AY292" s="135"/>
      <c r="AZ292" s="135"/>
      <c r="BA292" s="135"/>
      <c r="BB292" s="135"/>
      <c r="BC292" s="134">
        <f>'Stavební rozpočet'!G293</f>
        <v>0</v>
      </c>
      <c r="BD292" s="135"/>
      <c r="BE292" s="135"/>
      <c r="BF292" s="135"/>
      <c r="BG292" s="135"/>
      <c r="BH292" s="135"/>
      <c r="BI292" s="135"/>
      <c r="BJ292" s="135"/>
      <c r="BK292" s="134">
        <f t="shared" si="17"/>
        <v>0</v>
      </c>
      <c r="BL292" s="135"/>
      <c r="BM292" s="135"/>
      <c r="BN292" s="135"/>
      <c r="BO292" s="135"/>
      <c r="BP292" s="135"/>
      <c r="BQ292" s="135"/>
      <c r="BR292" s="135"/>
      <c r="BS292" s="132" t="s">
        <v>1177</v>
      </c>
      <c r="BT292" s="133"/>
      <c r="BU292" s="133"/>
      <c r="BV292" s="133"/>
      <c r="BW292" s="133"/>
      <c r="BX292" s="133"/>
      <c r="IR292" s="46">
        <f t="shared" si="18"/>
        <v>0</v>
      </c>
      <c r="IS292" s="46">
        <f t="shared" si="19"/>
        <v>0</v>
      </c>
    </row>
    <row r="293" spans="1:253" ht="12.75">
      <c r="A293" s="132" t="s">
        <v>239</v>
      </c>
      <c r="B293" s="133"/>
      <c r="C293" s="132"/>
      <c r="D293" s="133"/>
      <c r="E293" s="133"/>
      <c r="F293" s="132" t="s">
        <v>612</v>
      </c>
      <c r="G293" s="133"/>
      <c r="H293" s="133"/>
      <c r="I293" s="133"/>
      <c r="J293" s="133"/>
      <c r="K293" s="133"/>
      <c r="L293" s="132" t="s">
        <v>1006</v>
      </c>
      <c r="M293" s="133"/>
      <c r="N293" s="133"/>
      <c r="O293" s="133"/>
      <c r="P293" s="133"/>
      <c r="Q293" s="133"/>
      <c r="R293" s="133"/>
      <c r="S293" s="133"/>
      <c r="T293" s="133"/>
      <c r="U293" s="133"/>
      <c r="V293" s="133"/>
      <c r="W293" s="133"/>
      <c r="X293" s="133"/>
      <c r="Y293" s="133"/>
      <c r="Z293" s="133"/>
      <c r="AA293" s="133"/>
      <c r="AB293" s="133"/>
      <c r="AC293" s="133"/>
      <c r="AD293" s="133"/>
      <c r="AE293" s="133"/>
      <c r="AF293" s="133"/>
      <c r="AG293" s="133"/>
      <c r="AH293" s="133"/>
      <c r="AI293" s="133"/>
      <c r="AJ293" s="133"/>
      <c r="AK293" s="133"/>
      <c r="AL293" s="133"/>
      <c r="AM293" s="133"/>
      <c r="AN293" s="133"/>
      <c r="AO293" s="133"/>
      <c r="AP293" s="133"/>
      <c r="AQ293" s="133"/>
      <c r="AR293" s="133"/>
      <c r="AS293" s="133"/>
      <c r="AT293" s="133"/>
      <c r="AU293" s="133"/>
      <c r="AV293" s="132" t="s">
        <v>1153</v>
      </c>
      <c r="AW293" s="133"/>
      <c r="AX293" s="134">
        <f>'Stavební rozpočet'!F294</f>
        <v>1</v>
      </c>
      <c r="AY293" s="135"/>
      <c r="AZ293" s="135"/>
      <c r="BA293" s="135"/>
      <c r="BB293" s="135"/>
      <c r="BC293" s="134">
        <f>'Stavební rozpočet'!G294</f>
        <v>0</v>
      </c>
      <c r="BD293" s="135"/>
      <c r="BE293" s="135"/>
      <c r="BF293" s="135"/>
      <c r="BG293" s="135"/>
      <c r="BH293" s="135"/>
      <c r="BI293" s="135"/>
      <c r="BJ293" s="135"/>
      <c r="BK293" s="134">
        <f t="shared" si="17"/>
        <v>0</v>
      </c>
      <c r="BL293" s="135"/>
      <c r="BM293" s="135"/>
      <c r="BN293" s="135"/>
      <c r="BO293" s="135"/>
      <c r="BP293" s="135"/>
      <c r="BQ293" s="135"/>
      <c r="BR293" s="135"/>
      <c r="BS293" s="132" t="s">
        <v>1177</v>
      </c>
      <c r="BT293" s="133"/>
      <c r="BU293" s="133"/>
      <c r="BV293" s="133"/>
      <c r="BW293" s="133"/>
      <c r="BX293" s="133"/>
      <c r="IR293" s="46">
        <f t="shared" si="18"/>
        <v>0</v>
      </c>
      <c r="IS293" s="46">
        <f t="shared" si="19"/>
        <v>0</v>
      </c>
    </row>
    <row r="294" spans="1:253" ht="12.75">
      <c r="A294" s="132" t="s">
        <v>240</v>
      </c>
      <c r="B294" s="133"/>
      <c r="C294" s="132"/>
      <c r="D294" s="133"/>
      <c r="E294" s="133"/>
      <c r="F294" s="132" t="s">
        <v>613</v>
      </c>
      <c r="G294" s="133"/>
      <c r="H294" s="133"/>
      <c r="I294" s="133"/>
      <c r="J294" s="133"/>
      <c r="K294" s="133"/>
      <c r="L294" s="132" t="s">
        <v>1007</v>
      </c>
      <c r="M294" s="133"/>
      <c r="N294" s="133"/>
      <c r="O294" s="133"/>
      <c r="P294" s="133"/>
      <c r="Q294" s="133"/>
      <c r="R294" s="133"/>
      <c r="S294" s="133"/>
      <c r="T294" s="133"/>
      <c r="U294" s="133"/>
      <c r="V294" s="133"/>
      <c r="W294" s="133"/>
      <c r="X294" s="133"/>
      <c r="Y294" s="133"/>
      <c r="Z294" s="133"/>
      <c r="AA294" s="133"/>
      <c r="AB294" s="133"/>
      <c r="AC294" s="133"/>
      <c r="AD294" s="133"/>
      <c r="AE294" s="133"/>
      <c r="AF294" s="133"/>
      <c r="AG294" s="133"/>
      <c r="AH294" s="133"/>
      <c r="AI294" s="133"/>
      <c r="AJ294" s="133"/>
      <c r="AK294" s="133"/>
      <c r="AL294" s="133"/>
      <c r="AM294" s="133"/>
      <c r="AN294" s="133"/>
      <c r="AO294" s="133"/>
      <c r="AP294" s="133"/>
      <c r="AQ294" s="133"/>
      <c r="AR294" s="133"/>
      <c r="AS294" s="133"/>
      <c r="AT294" s="133"/>
      <c r="AU294" s="133"/>
      <c r="AV294" s="132" t="s">
        <v>1153</v>
      </c>
      <c r="AW294" s="133"/>
      <c r="AX294" s="134">
        <f>'Stavební rozpočet'!F295</f>
        <v>24</v>
      </c>
      <c r="AY294" s="135"/>
      <c r="AZ294" s="135"/>
      <c r="BA294" s="135"/>
      <c r="BB294" s="135"/>
      <c r="BC294" s="134">
        <f>'Stavební rozpočet'!G295</f>
        <v>0</v>
      </c>
      <c r="BD294" s="135"/>
      <c r="BE294" s="135"/>
      <c r="BF294" s="135"/>
      <c r="BG294" s="135"/>
      <c r="BH294" s="135"/>
      <c r="BI294" s="135"/>
      <c r="BJ294" s="135"/>
      <c r="BK294" s="134">
        <f t="shared" si="17"/>
        <v>0</v>
      </c>
      <c r="BL294" s="135"/>
      <c r="BM294" s="135"/>
      <c r="BN294" s="135"/>
      <c r="BO294" s="135"/>
      <c r="BP294" s="135"/>
      <c r="BQ294" s="135"/>
      <c r="BR294" s="135"/>
      <c r="BS294" s="132" t="s">
        <v>1177</v>
      </c>
      <c r="BT294" s="133"/>
      <c r="BU294" s="133"/>
      <c r="BV294" s="133"/>
      <c r="BW294" s="133"/>
      <c r="BX294" s="133"/>
      <c r="IR294" s="46">
        <f t="shared" si="18"/>
        <v>0</v>
      </c>
      <c r="IS294" s="46">
        <f t="shared" si="19"/>
        <v>0</v>
      </c>
    </row>
    <row r="295" spans="1:253" ht="12.75">
      <c r="A295" s="132" t="s">
        <v>241</v>
      </c>
      <c r="B295" s="133"/>
      <c r="C295" s="132"/>
      <c r="D295" s="133"/>
      <c r="E295" s="133"/>
      <c r="F295" s="132" t="s">
        <v>614</v>
      </c>
      <c r="G295" s="133"/>
      <c r="H295" s="133"/>
      <c r="I295" s="133"/>
      <c r="J295" s="133"/>
      <c r="K295" s="133"/>
      <c r="L295" s="132" t="s">
        <v>1008</v>
      </c>
      <c r="M295" s="133"/>
      <c r="N295" s="133"/>
      <c r="O295" s="133"/>
      <c r="P295" s="133"/>
      <c r="Q295" s="133"/>
      <c r="R295" s="133"/>
      <c r="S295" s="133"/>
      <c r="T295" s="133"/>
      <c r="U295" s="133"/>
      <c r="V295" s="133"/>
      <c r="W295" s="133"/>
      <c r="X295" s="133"/>
      <c r="Y295" s="133"/>
      <c r="Z295" s="133"/>
      <c r="AA295" s="133"/>
      <c r="AB295" s="133"/>
      <c r="AC295" s="133"/>
      <c r="AD295" s="133"/>
      <c r="AE295" s="133"/>
      <c r="AF295" s="133"/>
      <c r="AG295" s="133"/>
      <c r="AH295" s="133"/>
      <c r="AI295" s="133"/>
      <c r="AJ295" s="133"/>
      <c r="AK295" s="133"/>
      <c r="AL295" s="133"/>
      <c r="AM295" s="133"/>
      <c r="AN295" s="133"/>
      <c r="AO295" s="133"/>
      <c r="AP295" s="133"/>
      <c r="AQ295" s="133"/>
      <c r="AR295" s="133"/>
      <c r="AS295" s="133"/>
      <c r="AT295" s="133"/>
      <c r="AU295" s="133"/>
      <c r="AV295" s="132" t="s">
        <v>1153</v>
      </c>
      <c r="AW295" s="133"/>
      <c r="AX295" s="134">
        <f>'Stavební rozpočet'!F296</f>
        <v>3</v>
      </c>
      <c r="AY295" s="135"/>
      <c r="AZ295" s="135"/>
      <c r="BA295" s="135"/>
      <c r="BB295" s="135"/>
      <c r="BC295" s="134">
        <f>'Stavební rozpočet'!G296</f>
        <v>0</v>
      </c>
      <c r="BD295" s="135"/>
      <c r="BE295" s="135"/>
      <c r="BF295" s="135"/>
      <c r="BG295" s="135"/>
      <c r="BH295" s="135"/>
      <c r="BI295" s="135"/>
      <c r="BJ295" s="135"/>
      <c r="BK295" s="134">
        <f t="shared" si="17"/>
        <v>0</v>
      </c>
      <c r="BL295" s="135"/>
      <c r="BM295" s="135"/>
      <c r="BN295" s="135"/>
      <c r="BO295" s="135"/>
      <c r="BP295" s="135"/>
      <c r="BQ295" s="135"/>
      <c r="BR295" s="135"/>
      <c r="BS295" s="132" t="s">
        <v>1177</v>
      </c>
      <c r="BT295" s="133"/>
      <c r="BU295" s="133"/>
      <c r="BV295" s="133"/>
      <c r="BW295" s="133"/>
      <c r="BX295" s="133"/>
      <c r="IR295" s="46">
        <f t="shared" si="18"/>
        <v>0</v>
      </c>
      <c r="IS295" s="46">
        <f t="shared" si="19"/>
        <v>0</v>
      </c>
    </row>
    <row r="296" spans="1:253" ht="12.75">
      <c r="A296" s="132" t="s">
        <v>242</v>
      </c>
      <c r="B296" s="133"/>
      <c r="C296" s="132"/>
      <c r="D296" s="133"/>
      <c r="E296" s="133"/>
      <c r="F296" s="132" t="s">
        <v>615</v>
      </c>
      <c r="G296" s="133"/>
      <c r="H296" s="133"/>
      <c r="I296" s="133"/>
      <c r="J296" s="133"/>
      <c r="K296" s="133"/>
      <c r="L296" s="132" t="s">
        <v>1009</v>
      </c>
      <c r="M296" s="133"/>
      <c r="N296" s="133"/>
      <c r="O296" s="133"/>
      <c r="P296" s="133"/>
      <c r="Q296" s="133"/>
      <c r="R296" s="133"/>
      <c r="S296" s="133"/>
      <c r="T296" s="133"/>
      <c r="U296" s="133"/>
      <c r="V296" s="133"/>
      <c r="W296" s="133"/>
      <c r="X296" s="133"/>
      <c r="Y296" s="133"/>
      <c r="Z296" s="133"/>
      <c r="AA296" s="133"/>
      <c r="AB296" s="133"/>
      <c r="AC296" s="133"/>
      <c r="AD296" s="133"/>
      <c r="AE296" s="133"/>
      <c r="AF296" s="133"/>
      <c r="AG296" s="133"/>
      <c r="AH296" s="133"/>
      <c r="AI296" s="133"/>
      <c r="AJ296" s="133"/>
      <c r="AK296" s="133"/>
      <c r="AL296" s="133"/>
      <c r="AM296" s="133"/>
      <c r="AN296" s="133"/>
      <c r="AO296" s="133"/>
      <c r="AP296" s="133"/>
      <c r="AQ296" s="133"/>
      <c r="AR296" s="133"/>
      <c r="AS296" s="133"/>
      <c r="AT296" s="133"/>
      <c r="AU296" s="133"/>
      <c r="AV296" s="132" t="s">
        <v>1153</v>
      </c>
      <c r="AW296" s="133"/>
      <c r="AX296" s="134">
        <f>'Stavební rozpočet'!F297</f>
        <v>2</v>
      </c>
      <c r="AY296" s="135"/>
      <c r="AZ296" s="135"/>
      <c r="BA296" s="135"/>
      <c r="BB296" s="135"/>
      <c r="BC296" s="134">
        <f>'Stavební rozpočet'!G297</f>
        <v>0</v>
      </c>
      <c r="BD296" s="135"/>
      <c r="BE296" s="135"/>
      <c r="BF296" s="135"/>
      <c r="BG296" s="135"/>
      <c r="BH296" s="135"/>
      <c r="BI296" s="135"/>
      <c r="BJ296" s="135"/>
      <c r="BK296" s="134">
        <f aca="true" t="shared" si="20" ref="BK296:BK311">IR296*AX296+IS296*AX296</f>
        <v>0</v>
      </c>
      <c r="BL296" s="135"/>
      <c r="BM296" s="135"/>
      <c r="BN296" s="135"/>
      <c r="BO296" s="135"/>
      <c r="BP296" s="135"/>
      <c r="BQ296" s="135"/>
      <c r="BR296" s="135"/>
      <c r="BS296" s="132" t="s">
        <v>1177</v>
      </c>
      <c r="BT296" s="133"/>
      <c r="BU296" s="133"/>
      <c r="BV296" s="133"/>
      <c r="BW296" s="133"/>
      <c r="BX296" s="133"/>
      <c r="IR296" s="46">
        <f t="shared" si="18"/>
        <v>0</v>
      </c>
      <c r="IS296" s="46">
        <f t="shared" si="19"/>
        <v>0</v>
      </c>
    </row>
    <row r="297" spans="1:253" ht="12.75">
      <c r="A297" s="132" t="s">
        <v>243</v>
      </c>
      <c r="B297" s="133"/>
      <c r="C297" s="132"/>
      <c r="D297" s="133"/>
      <c r="E297" s="133"/>
      <c r="F297" s="132" t="s">
        <v>616</v>
      </c>
      <c r="G297" s="133"/>
      <c r="H297" s="133"/>
      <c r="I297" s="133"/>
      <c r="J297" s="133"/>
      <c r="K297" s="133"/>
      <c r="L297" s="132" t="s">
        <v>1010</v>
      </c>
      <c r="M297" s="133"/>
      <c r="N297" s="133"/>
      <c r="O297" s="133"/>
      <c r="P297" s="133"/>
      <c r="Q297" s="133"/>
      <c r="R297" s="133"/>
      <c r="S297" s="133"/>
      <c r="T297" s="133"/>
      <c r="U297" s="133"/>
      <c r="V297" s="133"/>
      <c r="W297" s="133"/>
      <c r="X297" s="133"/>
      <c r="Y297" s="133"/>
      <c r="Z297" s="133"/>
      <c r="AA297" s="133"/>
      <c r="AB297" s="133"/>
      <c r="AC297" s="133"/>
      <c r="AD297" s="133"/>
      <c r="AE297" s="133"/>
      <c r="AF297" s="133"/>
      <c r="AG297" s="133"/>
      <c r="AH297" s="133"/>
      <c r="AI297" s="133"/>
      <c r="AJ297" s="133"/>
      <c r="AK297" s="133"/>
      <c r="AL297" s="133"/>
      <c r="AM297" s="133"/>
      <c r="AN297" s="133"/>
      <c r="AO297" s="133"/>
      <c r="AP297" s="133"/>
      <c r="AQ297" s="133"/>
      <c r="AR297" s="133"/>
      <c r="AS297" s="133"/>
      <c r="AT297" s="133"/>
      <c r="AU297" s="133"/>
      <c r="AV297" s="132" t="s">
        <v>1160</v>
      </c>
      <c r="AW297" s="133"/>
      <c r="AX297" s="134">
        <f>'Stavební rozpočet'!F298</f>
        <v>1</v>
      </c>
      <c r="AY297" s="135"/>
      <c r="AZ297" s="135"/>
      <c r="BA297" s="135"/>
      <c r="BB297" s="135"/>
      <c r="BC297" s="134">
        <f>'Stavební rozpočet'!G298</f>
        <v>0</v>
      </c>
      <c r="BD297" s="135"/>
      <c r="BE297" s="135"/>
      <c r="BF297" s="135"/>
      <c r="BG297" s="135"/>
      <c r="BH297" s="135"/>
      <c r="BI297" s="135"/>
      <c r="BJ297" s="135"/>
      <c r="BK297" s="134">
        <f t="shared" si="20"/>
        <v>0</v>
      </c>
      <c r="BL297" s="135"/>
      <c r="BM297" s="135"/>
      <c r="BN297" s="135"/>
      <c r="BO297" s="135"/>
      <c r="BP297" s="135"/>
      <c r="BQ297" s="135"/>
      <c r="BR297" s="135"/>
      <c r="BS297" s="132" t="s">
        <v>1177</v>
      </c>
      <c r="BT297" s="133"/>
      <c r="BU297" s="133"/>
      <c r="BV297" s="133"/>
      <c r="BW297" s="133"/>
      <c r="BX297" s="133"/>
      <c r="IR297" s="46">
        <f t="shared" si="18"/>
        <v>0</v>
      </c>
      <c r="IS297" s="46">
        <f t="shared" si="19"/>
        <v>0</v>
      </c>
    </row>
    <row r="298" spans="1:253" ht="12.75">
      <c r="A298" s="132" t="s">
        <v>244</v>
      </c>
      <c r="B298" s="133"/>
      <c r="C298" s="132"/>
      <c r="D298" s="133"/>
      <c r="E298" s="133"/>
      <c r="F298" s="132" t="s">
        <v>617</v>
      </c>
      <c r="G298" s="133"/>
      <c r="H298" s="133"/>
      <c r="I298" s="133"/>
      <c r="J298" s="133"/>
      <c r="K298" s="133"/>
      <c r="L298" s="132" t="s">
        <v>1011</v>
      </c>
      <c r="M298" s="133"/>
      <c r="N298" s="133"/>
      <c r="O298" s="133"/>
      <c r="P298" s="133"/>
      <c r="Q298" s="133"/>
      <c r="R298" s="133"/>
      <c r="S298" s="133"/>
      <c r="T298" s="133"/>
      <c r="U298" s="133"/>
      <c r="V298" s="133"/>
      <c r="W298" s="133"/>
      <c r="X298" s="133"/>
      <c r="Y298" s="133"/>
      <c r="Z298" s="133"/>
      <c r="AA298" s="133"/>
      <c r="AB298" s="133"/>
      <c r="AC298" s="133"/>
      <c r="AD298" s="133"/>
      <c r="AE298" s="133"/>
      <c r="AF298" s="133"/>
      <c r="AG298" s="133"/>
      <c r="AH298" s="133"/>
      <c r="AI298" s="133"/>
      <c r="AJ298" s="133"/>
      <c r="AK298" s="133"/>
      <c r="AL298" s="133"/>
      <c r="AM298" s="133"/>
      <c r="AN298" s="133"/>
      <c r="AO298" s="133"/>
      <c r="AP298" s="133"/>
      <c r="AQ298" s="133"/>
      <c r="AR298" s="133"/>
      <c r="AS298" s="133"/>
      <c r="AT298" s="133"/>
      <c r="AU298" s="133"/>
      <c r="AV298" s="132" t="s">
        <v>1154</v>
      </c>
      <c r="AW298" s="133"/>
      <c r="AX298" s="134">
        <f>'Stavební rozpočet'!F299</f>
        <v>6</v>
      </c>
      <c r="AY298" s="135"/>
      <c r="AZ298" s="135"/>
      <c r="BA298" s="135"/>
      <c r="BB298" s="135"/>
      <c r="BC298" s="134">
        <f>'Stavební rozpočet'!G299</f>
        <v>0</v>
      </c>
      <c r="BD298" s="135"/>
      <c r="BE298" s="135"/>
      <c r="BF298" s="135"/>
      <c r="BG298" s="135"/>
      <c r="BH298" s="135"/>
      <c r="BI298" s="135"/>
      <c r="BJ298" s="135"/>
      <c r="BK298" s="134">
        <f t="shared" si="20"/>
        <v>0</v>
      </c>
      <c r="BL298" s="135"/>
      <c r="BM298" s="135"/>
      <c r="BN298" s="135"/>
      <c r="BO298" s="135"/>
      <c r="BP298" s="135"/>
      <c r="BQ298" s="135"/>
      <c r="BR298" s="135"/>
      <c r="BS298" s="132" t="s">
        <v>1177</v>
      </c>
      <c r="BT298" s="133"/>
      <c r="BU298" s="133"/>
      <c r="BV298" s="133"/>
      <c r="BW298" s="133"/>
      <c r="BX298" s="133"/>
      <c r="IR298" s="46">
        <f t="shared" si="18"/>
        <v>0</v>
      </c>
      <c r="IS298" s="46">
        <f t="shared" si="19"/>
        <v>0</v>
      </c>
    </row>
    <row r="299" spans="1:253" ht="12.75">
      <c r="A299" s="132" t="s">
        <v>245</v>
      </c>
      <c r="B299" s="133"/>
      <c r="C299" s="132"/>
      <c r="D299" s="133"/>
      <c r="E299" s="133"/>
      <c r="F299" s="132" t="s">
        <v>618</v>
      </c>
      <c r="G299" s="133"/>
      <c r="H299" s="133"/>
      <c r="I299" s="133"/>
      <c r="J299" s="133"/>
      <c r="K299" s="133"/>
      <c r="L299" s="132" t="s">
        <v>1011</v>
      </c>
      <c r="M299" s="133"/>
      <c r="N299" s="133"/>
      <c r="O299" s="133"/>
      <c r="P299" s="133"/>
      <c r="Q299" s="133"/>
      <c r="R299" s="133"/>
      <c r="S299" s="133"/>
      <c r="T299" s="133"/>
      <c r="U299" s="133"/>
      <c r="V299" s="133"/>
      <c r="W299" s="133"/>
      <c r="X299" s="133"/>
      <c r="Y299" s="133"/>
      <c r="Z299" s="133"/>
      <c r="AA299" s="133"/>
      <c r="AB299" s="133"/>
      <c r="AC299" s="133"/>
      <c r="AD299" s="133"/>
      <c r="AE299" s="133"/>
      <c r="AF299" s="133"/>
      <c r="AG299" s="133"/>
      <c r="AH299" s="133"/>
      <c r="AI299" s="133"/>
      <c r="AJ299" s="133"/>
      <c r="AK299" s="133"/>
      <c r="AL299" s="133"/>
      <c r="AM299" s="133"/>
      <c r="AN299" s="133"/>
      <c r="AO299" s="133"/>
      <c r="AP299" s="133"/>
      <c r="AQ299" s="133"/>
      <c r="AR299" s="133"/>
      <c r="AS299" s="133"/>
      <c r="AT299" s="133"/>
      <c r="AU299" s="133"/>
      <c r="AV299" s="132" t="s">
        <v>1154</v>
      </c>
      <c r="AW299" s="133"/>
      <c r="AX299" s="134">
        <f>'Stavební rozpočet'!F300</f>
        <v>6</v>
      </c>
      <c r="AY299" s="135"/>
      <c r="AZ299" s="135"/>
      <c r="BA299" s="135"/>
      <c r="BB299" s="135"/>
      <c r="BC299" s="134">
        <f>'Stavební rozpočet'!G300</f>
        <v>0</v>
      </c>
      <c r="BD299" s="135"/>
      <c r="BE299" s="135"/>
      <c r="BF299" s="135"/>
      <c r="BG299" s="135"/>
      <c r="BH299" s="135"/>
      <c r="BI299" s="135"/>
      <c r="BJ299" s="135"/>
      <c r="BK299" s="134">
        <f t="shared" si="20"/>
        <v>0</v>
      </c>
      <c r="BL299" s="135"/>
      <c r="BM299" s="135"/>
      <c r="BN299" s="135"/>
      <c r="BO299" s="135"/>
      <c r="BP299" s="135"/>
      <c r="BQ299" s="135"/>
      <c r="BR299" s="135"/>
      <c r="BS299" s="132" t="s">
        <v>1177</v>
      </c>
      <c r="BT299" s="133"/>
      <c r="BU299" s="133"/>
      <c r="BV299" s="133"/>
      <c r="BW299" s="133"/>
      <c r="BX299" s="133"/>
      <c r="IR299" s="46">
        <f t="shared" si="18"/>
        <v>0</v>
      </c>
      <c r="IS299" s="46">
        <f t="shared" si="19"/>
        <v>0</v>
      </c>
    </row>
    <row r="300" spans="1:253" ht="12.75">
      <c r="A300" s="132" t="s">
        <v>246</v>
      </c>
      <c r="B300" s="133"/>
      <c r="C300" s="132"/>
      <c r="D300" s="133"/>
      <c r="E300" s="133"/>
      <c r="F300" s="132" t="s">
        <v>619</v>
      </c>
      <c r="G300" s="133"/>
      <c r="H300" s="133"/>
      <c r="I300" s="133"/>
      <c r="J300" s="133"/>
      <c r="K300" s="133"/>
      <c r="L300" s="132" t="s">
        <v>1012</v>
      </c>
      <c r="M300" s="133"/>
      <c r="N300" s="133"/>
      <c r="O300" s="133"/>
      <c r="P300" s="133"/>
      <c r="Q300" s="133"/>
      <c r="R300" s="133"/>
      <c r="S300" s="133"/>
      <c r="T300" s="133"/>
      <c r="U300" s="133"/>
      <c r="V300" s="133"/>
      <c r="W300" s="133"/>
      <c r="X300" s="133"/>
      <c r="Y300" s="133"/>
      <c r="Z300" s="133"/>
      <c r="AA300" s="133"/>
      <c r="AB300" s="133"/>
      <c r="AC300" s="133"/>
      <c r="AD300" s="133"/>
      <c r="AE300" s="133"/>
      <c r="AF300" s="133"/>
      <c r="AG300" s="133"/>
      <c r="AH300" s="133"/>
      <c r="AI300" s="133"/>
      <c r="AJ300" s="133"/>
      <c r="AK300" s="133"/>
      <c r="AL300" s="133"/>
      <c r="AM300" s="133"/>
      <c r="AN300" s="133"/>
      <c r="AO300" s="133"/>
      <c r="AP300" s="133"/>
      <c r="AQ300" s="133"/>
      <c r="AR300" s="133"/>
      <c r="AS300" s="133"/>
      <c r="AT300" s="133"/>
      <c r="AU300" s="133"/>
      <c r="AV300" s="132" t="s">
        <v>1157</v>
      </c>
      <c r="AW300" s="133"/>
      <c r="AX300" s="134">
        <f>'Stavební rozpočet'!F301</f>
        <v>4</v>
      </c>
      <c r="AY300" s="135"/>
      <c r="AZ300" s="135"/>
      <c r="BA300" s="135"/>
      <c r="BB300" s="135"/>
      <c r="BC300" s="134">
        <f>'Stavební rozpočet'!G301</f>
        <v>0</v>
      </c>
      <c r="BD300" s="135"/>
      <c r="BE300" s="135"/>
      <c r="BF300" s="135"/>
      <c r="BG300" s="135"/>
      <c r="BH300" s="135"/>
      <c r="BI300" s="135"/>
      <c r="BJ300" s="135"/>
      <c r="BK300" s="134">
        <f t="shared" si="20"/>
        <v>0</v>
      </c>
      <c r="BL300" s="135"/>
      <c r="BM300" s="135"/>
      <c r="BN300" s="135"/>
      <c r="BO300" s="135"/>
      <c r="BP300" s="135"/>
      <c r="BQ300" s="135"/>
      <c r="BR300" s="135"/>
      <c r="BS300" s="132" t="s">
        <v>1177</v>
      </c>
      <c r="BT300" s="133"/>
      <c r="BU300" s="133"/>
      <c r="BV300" s="133"/>
      <c r="BW300" s="133"/>
      <c r="BX300" s="133"/>
      <c r="IR300" s="46">
        <f t="shared" si="18"/>
        <v>0</v>
      </c>
      <c r="IS300" s="46">
        <f t="shared" si="19"/>
        <v>0</v>
      </c>
    </row>
    <row r="301" spans="1:253" ht="12.75">
      <c r="A301" s="132" t="s">
        <v>247</v>
      </c>
      <c r="B301" s="133"/>
      <c r="C301" s="132"/>
      <c r="D301" s="133"/>
      <c r="E301" s="133"/>
      <c r="F301" s="132" t="s">
        <v>620</v>
      </c>
      <c r="G301" s="133"/>
      <c r="H301" s="133"/>
      <c r="I301" s="133"/>
      <c r="J301" s="133"/>
      <c r="K301" s="133"/>
      <c r="L301" s="132" t="s">
        <v>1012</v>
      </c>
      <c r="M301" s="133"/>
      <c r="N301" s="133"/>
      <c r="O301" s="133"/>
      <c r="P301" s="133"/>
      <c r="Q301" s="133"/>
      <c r="R301" s="133"/>
      <c r="S301" s="133"/>
      <c r="T301" s="133"/>
      <c r="U301" s="133"/>
      <c r="V301" s="133"/>
      <c r="W301" s="133"/>
      <c r="X301" s="133"/>
      <c r="Y301" s="133"/>
      <c r="Z301" s="133"/>
      <c r="AA301" s="133"/>
      <c r="AB301" s="133"/>
      <c r="AC301" s="133"/>
      <c r="AD301" s="133"/>
      <c r="AE301" s="133"/>
      <c r="AF301" s="133"/>
      <c r="AG301" s="133"/>
      <c r="AH301" s="133"/>
      <c r="AI301" s="133"/>
      <c r="AJ301" s="133"/>
      <c r="AK301" s="133"/>
      <c r="AL301" s="133"/>
      <c r="AM301" s="133"/>
      <c r="AN301" s="133"/>
      <c r="AO301" s="133"/>
      <c r="AP301" s="133"/>
      <c r="AQ301" s="133"/>
      <c r="AR301" s="133"/>
      <c r="AS301" s="133"/>
      <c r="AT301" s="133"/>
      <c r="AU301" s="133"/>
      <c r="AV301" s="132" t="s">
        <v>1157</v>
      </c>
      <c r="AW301" s="133"/>
      <c r="AX301" s="134">
        <f>'Stavební rozpočet'!F302</f>
        <v>4</v>
      </c>
      <c r="AY301" s="135"/>
      <c r="AZ301" s="135"/>
      <c r="BA301" s="135"/>
      <c r="BB301" s="135"/>
      <c r="BC301" s="134">
        <f>'Stavební rozpočet'!G302</f>
        <v>0</v>
      </c>
      <c r="BD301" s="135"/>
      <c r="BE301" s="135"/>
      <c r="BF301" s="135"/>
      <c r="BG301" s="135"/>
      <c r="BH301" s="135"/>
      <c r="BI301" s="135"/>
      <c r="BJ301" s="135"/>
      <c r="BK301" s="134">
        <f t="shared" si="20"/>
        <v>0</v>
      </c>
      <c r="BL301" s="135"/>
      <c r="BM301" s="135"/>
      <c r="BN301" s="135"/>
      <c r="BO301" s="135"/>
      <c r="BP301" s="135"/>
      <c r="BQ301" s="135"/>
      <c r="BR301" s="135"/>
      <c r="BS301" s="132" t="s">
        <v>1177</v>
      </c>
      <c r="BT301" s="133"/>
      <c r="BU301" s="133"/>
      <c r="BV301" s="133"/>
      <c r="BW301" s="133"/>
      <c r="BX301" s="133"/>
      <c r="IR301" s="46">
        <f t="shared" si="18"/>
        <v>0</v>
      </c>
      <c r="IS301" s="46">
        <f t="shared" si="19"/>
        <v>0</v>
      </c>
    </row>
    <row r="302" spans="1:253" ht="12.75">
      <c r="A302" s="132" t="s">
        <v>248</v>
      </c>
      <c r="B302" s="133"/>
      <c r="C302" s="132"/>
      <c r="D302" s="133"/>
      <c r="E302" s="133"/>
      <c r="F302" s="132" t="s">
        <v>621</v>
      </c>
      <c r="G302" s="133"/>
      <c r="H302" s="133"/>
      <c r="I302" s="133"/>
      <c r="J302" s="133"/>
      <c r="K302" s="133"/>
      <c r="L302" s="132" t="s">
        <v>1013</v>
      </c>
      <c r="M302" s="133"/>
      <c r="N302" s="133"/>
      <c r="O302" s="133"/>
      <c r="P302" s="133"/>
      <c r="Q302" s="133"/>
      <c r="R302" s="133"/>
      <c r="S302" s="133"/>
      <c r="T302" s="133"/>
      <c r="U302" s="133"/>
      <c r="V302" s="133"/>
      <c r="W302" s="133"/>
      <c r="X302" s="133"/>
      <c r="Y302" s="133"/>
      <c r="Z302" s="133"/>
      <c r="AA302" s="133"/>
      <c r="AB302" s="133"/>
      <c r="AC302" s="133"/>
      <c r="AD302" s="133"/>
      <c r="AE302" s="133"/>
      <c r="AF302" s="133"/>
      <c r="AG302" s="133"/>
      <c r="AH302" s="133"/>
      <c r="AI302" s="133"/>
      <c r="AJ302" s="133"/>
      <c r="AK302" s="133"/>
      <c r="AL302" s="133"/>
      <c r="AM302" s="133"/>
      <c r="AN302" s="133"/>
      <c r="AO302" s="133"/>
      <c r="AP302" s="133"/>
      <c r="AQ302" s="133"/>
      <c r="AR302" s="133"/>
      <c r="AS302" s="133"/>
      <c r="AT302" s="133"/>
      <c r="AU302" s="133"/>
      <c r="AV302" s="132" t="s">
        <v>1157</v>
      </c>
      <c r="AW302" s="133"/>
      <c r="AX302" s="134">
        <f>'Stavební rozpočet'!F303</f>
        <v>2</v>
      </c>
      <c r="AY302" s="135"/>
      <c r="AZ302" s="135"/>
      <c r="BA302" s="135"/>
      <c r="BB302" s="135"/>
      <c r="BC302" s="134">
        <f>'Stavební rozpočet'!G303</f>
        <v>0</v>
      </c>
      <c r="BD302" s="135"/>
      <c r="BE302" s="135"/>
      <c r="BF302" s="135"/>
      <c r="BG302" s="135"/>
      <c r="BH302" s="135"/>
      <c r="BI302" s="135"/>
      <c r="BJ302" s="135"/>
      <c r="BK302" s="134">
        <f t="shared" si="20"/>
        <v>0</v>
      </c>
      <c r="BL302" s="135"/>
      <c r="BM302" s="135"/>
      <c r="BN302" s="135"/>
      <c r="BO302" s="135"/>
      <c r="BP302" s="135"/>
      <c r="BQ302" s="135"/>
      <c r="BR302" s="135"/>
      <c r="BS302" s="132" t="s">
        <v>1177</v>
      </c>
      <c r="BT302" s="133"/>
      <c r="BU302" s="133"/>
      <c r="BV302" s="133"/>
      <c r="BW302" s="133"/>
      <c r="BX302" s="133"/>
      <c r="IR302" s="46">
        <f t="shared" si="18"/>
        <v>0</v>
      </c>
      <c r="IS302" s="46">
        <f t="shared" si="19"/>
        <v>0</v>
      </c>
    </row>
    <row r="303" spans="1:253" ht="12.75">
      <c r="A303" s="132" t="s">
        <v>249</v>
      </c>
      <c r="B303" s="133"/>
      <c r="C303" s="132"/>
      <c r="D303" s="133"/>
      <c r="E303" s="133"/>
      <c r="F303" s="132" t="s">
        <v>622</v>
      </c>
      <c r="G303" s="133"/>
      <c r="H303" s="133"/>
      <c r="I303" s="133"/>
      <c r="J303" s="133"/>
      <c r="K303" s="133"/>
      <c r="L303" s="132" t="s">
        <v>1013</v>
      </c>
      <c r="M303" s="133"/>
      <c r="N303" s="133"/>
      <c r="O303" s="133"/>
      <c r="P303" s="133"/>
      <c r="Q303" s="133"/>
      <c r="R303" s="133"/>
      <c r="S303" s="133"/>
      <c r="T303" s="133"/>
      <c r="U303" s="133"/>
      <c r="V303" s="133"/>
      <c r="W303" s="133"/>
      <c r="X303" s="133"/>
      <c r="Y303" s="133"/>
      <c r="Z303" s="133"/>
      <c r="AA303" s="133"/>
      <c r="AB303" s="133"/>
      <c r="AC303" s="133"/>
      <c r="AD303" s="133"/>
      <c r="AE303" s="133"/>
      <c r="AF303" s="133"/>
      <c r="AG303" s="133"/>
      <c r="AH303" s="133"/>
      <c r="AI303" s="133"/>
      <c r="AJ303" s="133"/>
      <c r="AK303" s="133"/>
      <c r="AL303" s="133"/>
      <c r="AM303" s="133"/>
      <c r="AN303" s="133"/>
      <c r="AO303" s="133"/>
      <c r="AP303" s="133"/>
      <c r="AQ303" s="133"/>
      <c r="AR303" s="133"/>
      <c r="AS303" s="133"/>
      <c r="AT303" s="133"/>
      <c r="AU303" s="133"/>
      <c r="AV303" s="132" t="s">
        <v>1157</v>
      </c>
      <c r="AW303" s="133"/>
      <c r="AX303" s="134">
        <f>'Stavební rozpočet'!F304</f>
        <v>2</v>
      </c>
      <c r="AY303" s="135"/>
      <c r="AZ303" s="135"/>
      <c r="BA303" s="135"/>
      <c r="BB303" s="135"/>
      <c r="BC303" s="134">
        <f>'Stavební rozpočet'!G304</f>
        <v>0</v>
      </c>
      <c r="BD303" s="135"/>
      <c r="BE303" s="135"/>
      <c r="BF303" s="135"/>
      <c r="BG303" s="135"/>
      <c r="BH303" s="135"/>
      <c r="BI303" s="135"/>
      <c r="BJ303" s="135"/>
      <c r="BK303" s="134">
        <f t="shared" si="20"/>
        <v>0</v>
      </c>
      <c r="BL303" s="135"/>
      <c r="BM303" s="135"/>
      <c r="BN303" s="135"/>
      <c r="BO303" s="135"/>
      <c r="BP303" s="135"/>
      <c r="BQ303" s="135"/>
      <c r="BR303" s="135"/>
      <c r="BS303" s="132" t="s">
        <v>1177</v>
      </c>
      <c r="BT303" s="133"/>
      <c r="BU303" s="133"/>
      <c r="BV303" s="133"/>
      <c r="BW303" s="133"/>
      <c r="BX303" s="133"/>
      <c r="IR303" s="46">
        <f t="shared" si="18"/>
        <v>0</v>
      </c>
      <c r="IS303" s="46">
        <f t="shared" si="19"/>
        <v>0</v>
      </c>
    </row>
    <row r="304" spans="1:253" ht="12.75">
      <c r="A304" s="132" t="s">
        <v>250</v>
      </c>
      <c r="B304" s="133"/>
      <c r="C304" s="132"/>
      <c r="D304" s="133"/>
      <c r="E304" s="133"/>
      <c r="F304" s="132" t="s">
        <v>623</v>
      </c>
      <c r="G304" s="133"/>
      <c r="H304" s="133"/>
      <c r="I304" s="133"/>
      <c r="J304" s="133"/>
      <c r="K304" s="133"/>
      <c r="L304" s="132" t="s">
        <v>1014</v>
      </c>
      <c r="M304" s="133"/>
      <c r="N304" s="133"/>
      <c r="O304" s="133"/>
      <c r="P304" s="133"/>
      <c r="Q304" s="133"/>
      <c r="R304" s="133"/>
      <c r="S304" s="133"/>
      <c r="T304" s="133"/>
      <c r="U304" s="133"/>
      <c r="V304" s="133"/>
      <c r="W304" s="133"/>
      <c r="X304" s="133"/>
      <c r="Y304" s="133"/>
      <c r="Z304" s="133"/>
      <c r="AA304" s="133"/>
      <c r="AB304" s="133"/>
      <c r="AC304" s="133"/>
      <c r="AD304" s="133"/>
      <c r="AE304" s="133"/>
      <c r="AF304" s="133"/>
      <c r="AG304" s="133"/>
      <c r="AH304" s="133"/>
      <c r="AI304" s="133"/>
      <c r="AJ304" s="133"/>
      <c r="AK304" s="133"/>
      <c r="AL304" s="133"/>
      <c r="AM304" s="133"/>
      <c r="AN304" s="133"/>
      <c r="AO304" s="133"/>
      <c r="AP304" s="133"/>
      <c r="AQ304" s="133"/>
      <c r="AR304" s="133"/>
      <c r="AS304" s="133"/>
      <c r="AT304" s="133"/>
      <c r="AU304" s="133"/>
      <c r="AV304" s="132" t="s">
        <v>1153</v>
      </c>
      <c r="AW304" s="133"/>
      <c r="AX304" s="134">
        <f>'Stavební rozpočet'!F305</f>
        <v>1</v>
      </c>
      <c r="AY304" s="135"/>
      <c r="AZ304" s="135"/>
      <c r="BA304" s="135"/>
      <c r="BB304" s="135"/>
      <c r="BC304" s="134">
        <f>'Stavební rozpočet'!G305</f>
        <v>0</v>
      </c>
      <c r="BD304" s="135"/>
      <c r="BE304" s="135"/>
      <c r="BF304" s="135"/>
      <c r="BG304" s="135"/>
      <c r="BH304" s="135"/>
      <c r="BI304" s="135"/>
      <c r="BJ304" s="135"/>
      <c r="BK304" s="134">
        <f t="shared" si="20"/>
        <v>0</v>
      </c>
      <c r="BL304" s="135"/>
      <c r="BM304" s="135"/>
      <c r="BN304" s="135"/>
      <c r="BO304" s="135"/>
      <c r="BP304" s="135"/>
      <c r="BQ304" s="135"/>
      <c r="BR304" s="135"/>
      <c r="BS304" s="132" t="s">
        <v>1177</v>
      </c>
      <c r="BT304" s="133"/>
      <c r="BU304" s="133"/>
      <c r="BV304" s="133"/>
      <c r="BW304" s="133"/>
      <c r="BX304" s="133"/>
      <c r="IR304" s="46">
        <f t="shared" si="18"/>
        <v>0</v>
      </c>
      <c r="IS304" s="46">
        <f t="shared" si="19"/>
        <v>0</v>
      </c>
    </row>
    <row r="305" spans="1:253" ht="12.75">
      <c r="A305" s="132" t="s">
        <v>251</v>
      </c>
      <c r="B305" s="133"/>
      <c r="C305" s="132"/>
      <c r="D305" s="133"/>
      <c r="E305" s="133"/>
      <c r="F305" s="132" t="s">
        <v>624</v>
      </c>
      <c r="G305" s="133"/>
      <c r="H305" s="133"/>
      <c r="I305" s="133"/>
      <c r="J305" s="133"/>
      <c r="K305" s="133"/>
      <c r="L305" s="132" t="s">
        <v>1015</v>
      </c>
      <c r="M305" s="133"/>
      <c r="N305" s="133"/>
      <c r="O305" s="133"/>
      <c r="P305" s="133"/>
      <c r="Q305" s="133"/>
      <c r="R305" s="133"/>
      <c r="S305" s="133"/>
      <c r="T305" s="133"/>
      <c r="U305" s="133"/>
      <c r="V305" s="133"/>
      <c r="W305" s="133"/>
      <c r="X305" s="133"/>
      <c r="Y305" s="133"/>
      <c r="Z305" s="133"/>
      <c r="AA305" s="133"/>
      <c r="AB305" s="133"/>
      <c r="AC305" s="133"/>
      <c r="AD305" s="133"/>
      <c r="AE305" s="133"/>
      <c r="AF305" s="133"/>
      <c r="AG305" s="133"/>
      <c r="AH305" s="133"/>
      <c r="AI305" s="133"/>
      <c r="AJ305" s="133"/>
      <c r="AK305" s="133"/>
      <c r="AL305" s="133"/>
      <c r="AM305" s="133"/>
      <c r="AN305" s="133"/>
      <c r="AO305" s="133"/>
      <c r="AP305" s="133"/>
      <c r="AQ305" s="133"/>
      <c r="AR305" s="133"/>
      <c r="AS305" s="133"/>
      <c r="AT305" s="133"/>
      <c r="AU305" s="133"/>
      <c r="AV305" s="132" t="s">
        <v>1160</v>
      </c>
      <c r="AW305" s="133"/>
      <c r="AX305" s="134">
        <f>'Stavební rozpočet'!F306</f>
        <v>1</v>
      </c>
      <c r="AY305" s="135"/>
      <c r="AZ305" s="135"/>
      <c r="BA305" s="135"/>
      <c r="BB305" s="135"/>
      <c r="BC305" s="134">
        <f>'Stavební rozpočet'!G306</f>
        <v>0</v>
      </c>
      <c r="BD305" s="135"/>
      <c r="BE305" s="135"/>
      <c r="BF305" s="135"/>
      <c r="BG305" s="135"/>
      <c r="BH305" s="135"/>
      <c r="BI305" s="135"/>
      <c r="BJ305" s="135"/>
      <c r="BK305" s="134">
        <f t="shared" si="20"/>
        <v>0</v>
      </c>
      <c r="BL305" s="135"/>
      <c r="BM305" s="135"/>
      <c r="BN305" s="135"/>
      <c r="BO305" s="135"/>
      <c r="BP305" s="135"/>
      <c r="BQ305" s="135"/>
      <c r="BR305" s="135"/>
      <c r="BS305" s="132" t="s">
        <v>1177</v>
      </c>
      <c r="BT305" s="133"/>
      <c r="BU305" s="133"/>
      <c r="BV305" s="133"/>
      <c r="BW305" s="133"/>
      <c r="BX305" s="133"/>
      <c r="IR305" s="46">
        <f t="shared" si="18"/>
        <v>0</v>
      </c>
      <c r="IS305" s="46">
        <f t="shared" si="19"/>
        <v>0</v>
      </c>
    </row>
    <row r="306" spans="1:253" ht="12.75">
      <c r="A306" s="132" t="s">
        <v>252</v>
      </c>
      <c r="B306" s="133"/>
      <c r="C306" s="132"/>
      <c r="D306" s="133"/>
      <c r="E306" s="133"/>
      <c r="F306" s="132" t="s">
        <v>625</v>
      </c>
      <c r="G306" s="133"/>
      <c r="H306" s="133"/>
      <c r="I306" s="133"/>
      <c r="J306" s="133"/>
      <c r="K306" s="133"/>
      <c r="L306" s="132" t="s">
        <v>1016</v>
      </c>
      <c r="M306" s="133"/>
      <c r="N306" s="133"/>
      <c r="O306" s="133"/>
      <c r="P306" s="133"/>
      <c r="Q306" s="133"/>
      <c r="R306" s="133"/>
      <c r="S306" s="133"/>
      <c r="T306" s="133"/>
      <c r="U306" s="133"/>
      <c r="V306" s="133"/>
      <c r="W306" s="133"/>
      <c r="X306" s="133"/>
      <c r="Y306" s="133"/>
      <c r="Z306" s="133"/>
      <c r="AA306" s="133"/>
      <c r="AB306" s="133"/>
      <c r="AC306" s="133"/>
      <c r="AD306" s="133"/>
      <c r="AE306" s="133"/>
      <c r="AF306" s="133"/>
      <c r="AG306" s="133"/>
      <c r="AH306" s="133"/>
      <c r="AI306" s="133"/>
      <c r="AJ306" s="133"/>
      <c r="AK306" s="133"/>
      <c r="AL306" s="133"/>
      <c r="AM306" s="133"/>
      <c r="AN306" s="133"/>
      <c r="AO306" s="133"/>
      <c r="AP306" s="133"/>
      <c r="AQ306" s="133"/>
      <c r="AR306" s="133"/>
      <c r="AS306" s="133"/>
      <c r="AT306" s="133"/>
      <c r="AU306" s="133"/>
      <c r="AV306" s="132" t="s">
        <v>1160</v>
      </c>
      <c r="AW306" s="133"/>
      <c r="AX306" s="134">
        <f>'Stavební rozpočet'!F307</f>
        <v>1</v>
      </c>
      <c r="AY306" s="135"/>
      <c r="AZ306" s="135"/>
      <c r="BA306" s="135"/>
      <c r="BB306" s="135"/>
      <c r="BC306" s="134">
        <f>'Stavební rozpočet'!G307</f>
        <v>0</v>
      </c>
      <c r="BD306" s="135"/>
      <c r="BE306" s="135"/>
      <c r="BF306" s="135"/>
      <c r="BG306" s="135"/>
      <c r="BH306" s="135"/>
      <c r="BI306" s="135"/>
      <c r="BJ306" s="135"/>
      <c r="BK306" s="134">
        <f t="shared" si="20"/>
        <v>0</v>
      </c>
      <c r="BL306" s="135"/>
      <c r="BM306" s="135"/>
      <c r="BN306" s="135"/>
      <c r="BO306" s="135"/>
      <c r="BP306" s="135"/>
      <c r="BQ306" s="135"/>
      <c r="BR306" s="135"/>
      <c r="BS306" s="132" t="s">
        <v>1177</v>
      </c>
      <c r="BT306" s="133"/>
      <c r="BU306" s="133"/>
      <c r="BV306" s="133"/>
      <c r="BW306" s="133"/>
      <c r="BX306" s="133"/>
      <c r="IR306" s="46">
        <f t="shared" si="18"/>
        <v>0</v>
      </c>
      <c r="IS306" s="46">
        <f t="shared" si="19"/>
        <v>0</v>
      </c>
    </row>
    <row r="307" spans="1:253" ht="12.75">
      <c r="A307" s="132" t="s">
        <v>253</v>
      </c>
      <c r="B307" s="133"/>
      <c r="C307" s="132"/>
      <c r="D307" s="133"/>
      <c r="E307" s="133"/>
      <c r="F307" s="132" t="s">
        <v>626</v>
      </c>
      <c r="G307" s="133"/>
      <c r="H307" s="133"/>
      <c r="I307" s="133"/>
      <c r="J307" s="133"/>
      <c r="K307" s="133"/>
      <c r="L307" s="132" t="s">
        <v>1017</v>
      </c>
      <c r="M307" s="133"/>
      <c r="N307" s="133"/>
      <c r="O307" s="133"/>
      <c r="P307" s="133"/>
      <c r="Q307" s="133"/>
      <c r="R307" s="133"/>
      <c r="S307" s="133"/>
      <c r="T307" s="133"/>
      <c r="U307" s="133"/>
      <c r="V307" s="133"/>
      <c r="W307" s="133"/>
      <c r="X307" s="133"/>
      <c r="Y307" s="133"/>
      <c r="Z307" s="133"/>
      <c r="AA307" s="133"/>
      <c r="AB307" s="133"/>
      <c r="AC307" s="133"/>
      <c r="AD307" s="133"/>
      <c r="AE307" s="133"/>
      <c r="AF307" s="133"/>
      <c r="AG307" s="133"/>
      <c r="AH307" s="133"/>
      <c r="AI307" s="133"/>
      <c r="AJ307" s="133"/>
      <c r="AK307" s="133"/>
      <c r="AL307" s="133"/>
      <c r="AM307" s="133"/>
      <c r="AN307" s="133"/>
      <c r="AO307" s="133"/>
      <c r="AP307" s="133"/>
      <c r="AQ307" s="133"/>
      <c r="AR307" s="133"/>
      <c r="AS307" s="133"/>
      <c r="AT307" s="133"/>
      <c r="AU307" s="133"/>
      <c r="AV307" s="132" t="s">
        <v>1160</v>
      </c>
      <c r="AW307" s="133"/>
      <c r="AX307" s="134">
        <f>'Stavební rozpočet'!F308</f>
        <v>1</v>
      </c>
      <c r="AY307" s="135"/>
      <c r="AZ307" s="135"/>
      <c r="BA307" s="135"/>
      <c r="BB307" s="135"/>
      <c r="BC307" s="134">
        <f>'Stavební rozpočet'!G308</f>
        <v>0</v>
      </c>
      <c r="BD307" s="135"/>
      <c r="BE307" s="135"/>
      <c r="BF307" s="135"/>
      <c r="BG307" s="135"/>
      <c r="BH307" s="135"/>
      <c r="BI307" s="135"/>
      <c r="BJ307" s="135"/>
      <c r="BK307" s="134">
        <f t="shared" si="20"/>
        <v>0</v>
      </c>
      <c r="BL307" s="135"/>
      <c r="BM307" s="135"/>
      <c r="BN307" s="135"/>
      <c r="BO307" s="135"/>
      <c r="BP307" s="135"/>
      <c r="BQ307" s="135"/>
      <c r="BR307" s="135"/>
      <c r="BS307" s="132" t="s">
        <v>1177</v>
      </c>
      <c r="BT307" s="133"/>
      <c r="BU307" s="133"/>
      <c r="BV307" s="133"/>
      <c r="BW307" s="133"/>
      <c r="BX307" s="133"/>
      <c r="IR307" s="46">
        <f t="shared" si="18"/>
        <v>0</v>
      </c>
      <c r="IS307" s="46">
        <f t="shared" si="19"/>
        <v>0</v>
      </c>
    </row>
    <row r="308" spans="1:253" ht="12.75">
      <c r="A308" s="132" t="s">
        <v>254</v>
      </c>
      <c r="B308" s="133"/>
      <c r="C308" s="132"/>
      <c r="D308" s="133"/>
      <c r="E308" s="133"/>
      <c r="F308" s="132" t="s">
        <v>627</v>
      </c>
      <c r="G308" s="133"/>
      <c r="H308" s="133"/>
      <c r="I308" s="133"/>
      <c r="J308" s="133"/>
      <c r="K308" s="133"/>
      <c r="L308" s="132" t="s">
        <v>1018</v>
      </c>
      <c r="M308" s="133"/>
      <c r="N308" s="133"/>
      <c r="O308" s="133"/>
      <c r="P308" s="133"/>
      <c r="Q308" s="133"/>
      <c r="R308" s="133"/>
      <c r="S308" s="133"/>
      <c r="T308" s="133"/>
      <c r="U308" s="133"/>
      <c r="V308" s="133"/>
      <c r="W308" s="133"/>
      <c r="X308" s="133"/>
      <c r="Y308" s="133"/>
      <c r="Z308" s="133"/>
      <c r="AA308" s="133"/>
      <c r="AB308" s="133"/>
      <c r="AC308" s="133"/>
      <c r="AD308" s="133"/>
      <c r="AE308" s="133"/>
      <c r="AF308" s="133"/>
      <c r="AG308" s="133"/>
      <c r="AH308" s="133"/>
      <c r="AI308" s="133"/>
      <c r="AJ308" s="133"/>
      <c r="AK308" s="133"/>
      <c r="AL308" s="133"/>
      <c r="AM308" s="133"/>
      <c r="AN308" s="133"/>
      <c r="AO308" s="133"/>
      <c r="AP308" s="133"/>
      <c r="AQ308" s="133"/>
      <c r="AR308" s="133"/>
      <c r="AS308" s="133"/>
      <c r="AT308" s="133"/>
      <c r="AU308" s="133"/>
      <c r="AV308" s="132" t="s">
        <v>1160</v>
      </c>
      <c r="AW308" s="133"/>
      <c r="AX308" s="134">
        <f>'Stavební rozpočet'!F309</f>
        <v>1</v>
      </c>
      <c r="AY308" s="135"/>
      <c r="AZ308" s="135"/>
      <c r="BA308" s="135"/>
      <c r="BB308" s="135"/>
      <c r="BC308" s="134">
        <f>'Stavební rozpočet'!G309</f>
        <v>0</v>
      </c>
      <c r="BD308" s="135"/>
      <c r="BE308" s="135"/>
      <c r="BF308" s="135"/>
      <c r="BG308" s="135"/>
      <c r="BH308" s="135"/>
      <c r="BI308" s="135"/>
      <c r="BJ308" s="135"/>
      <c r="BK308" s="134">
        <f t="shared" si="20"/>
        <v>0</v>
      </c>
      <c r="BL308" s="135"/>
      <c r="BM308" s="135"/>
      <c r="BN308" s="135"/>
      <c r="BO308" s="135"/>
      <c r="BP308" s="135"/>
      <c r="BQ308" s="135"/>
      <c r="BR308" s="135"/>
      <c r="BS308" s="132" t="s">
        <v>1177</v>
      </c>
      <c r="BT308" s="133"/>
      <c r="BU308" s="133"/>
      <c r="BV308" s="133"/>
      <c r="BW308" s="133"/>
      <c r="BX308" s="133"/>
      <c r="IR308" s="46">
        <f t="shared" si="18"/>
        <v>0</v>
      </c>
      <c r="IS308" s="46">
        <f t="shared" si="19"/>
        <v>0</v>
      </c>
    </row>
    <row r="309" spans="1:253" ht="12.75">
      <c r="A309" s="132" t="s">
        <v>255</v>
      </c>
      <c r="B309" s="133"/>
      <c r="C309" s="132"/>
      <c r="D309" s="133"/>
      <c r="E309" s="133"/>
      <c r="F309" s="132" t="s">
        <v>628</v>
      </c>
      <c r="G309" s="133"/>
      <c r="H309" s="133"/>
      <c r="I309" s="133"/>
      <c r="J309" s="133"/>
      <c r="K309" s="133"/>
      <c r="L309" s="132" t="s">
        <v>1019</v>
      </c>
      <c r="M309" s="133"/>
      <c r="N309" s="133"/>
      <c r="O309" s="133"/>
      <c r="P309" s="133"/>
      <c r="Q309" s="133"/>
      <c r="R309" s="133"/>
      <c r="S309" s="133"/>
      <c r="T309" s="133"/>
      <c r="U309" s="133"/>
      <c r="V309" s="133"/>
      <c r="W309" s="133"/>
      <c r="X309" s="133"/>
      <c r="Y309" s="133"/>
      <c r="Z309" s="133"/>
      <c r="AA309" s="133"/>
      <c r="AB309" s="133"/>
      <c r="AC309" s="133"/>
      <c r="AD309" s="133"/>
      <c r="AE309" s="133"/>
      <c r="AF309" s="133"/>
      <c r="AG309" s="133"/>
      <c r="AH309" s="133"/>
      <c r="AI309" s="133"/>
      <c r="AJ309" s="133"/>
      <c r="AK309" s="133"/>
      <c r="AL309" s="133"/>
      <c r="AM309" s="133"/>
      <c r="AN309" s="133"/>
      <c r="AO309" s="133"/>
      <c r="AP309" s="133"/>
      <c r="AQ309" s="133"/>
      <c r="AR309" s="133"/>
      <c r="AS309" s="133"/>
      <c r="AT309" s="133"/>
      <c r="AU309" s="133"/>
      <c r="AV309" s="132" t="s">
        <v>1155</v>
      </c>
      <c r="AW309" s="133"/>
      <c r="AX309" s="134">
        <f>'Stavební rozpočet'!F310</f>
        <v>4</v>
      </c>
      <c r="AY309" s="135"/>
      <c r="AZ309" s="135"/>
      <c r="BA309" s="135"/>
      <c r="BB309" s="135"/>
      <c r="BC309" s="134">
        <f>'Stavební rozpočet'!G310</f>
        <v>0</v>
      </c>
      <c r="BD309" s="135"/>
      <c r="BE309" s="135"/>
      <c r="BF309" s="135"/>
      <c r="BG309" s="135"/>
      <c r="BH309" s="135"/>
      <c r="BI309" s="135"/>
      <c r="BJ309" s="135"/>
      <c r="BK309" s="134">
        <f t="shared" si="20"/>
        <v>0</v>
      </c>
      <c r="BL309" s="135"/>
      <c r="BM309" s="135"/>
      <c r="BN309" s="135"/>
      <c r="BO309" s="135"/>
      <c r="BP309" s="135"/>
      <c r="BQ309" s="135"/>
      <c r="BR309" s="135"/>
      <c r="BS309" s="132" t="s">
        <v>1177</v>
      </c>
      <c r="BT309" s="133"/>
      <c r="BU309" s="133"/>
      <c r="BV309" s="133"/>
      <c r="BW309" s="133"/>
      <c r="BX309" s="133"/>
      <c r="IR309" s="46">
        <f t="shared" si="18"/>
        <v>0</v>
      </c>
      <c r="IS309" s="46">
        <f t="shared" si="19"/>
        <v>0</v>
      </c>
    </row>
    <row r="310" spans="1:253" ht="12.75">
      <c r="A310" s="132" t="s">
        <v>256</v>
      </c>
      <c r="B310" s="133"/>
      <c r="C310" s="132"/>
      <c r="D310" s="133"/>
      <c r="E310" s="133"/>
      <c r="F310" s="132" t="s">
        <v>629</v>
      </c>
      <c r="G310" s="133"/>
      <c r="H310" s="133"/>
      <c r="I310" s="133"/>
      <c r="J310" s="133"/>
      <c r="K310" s="133"/>
      <c r="L310" s="132" t="s">
        <v>1020</v>
      </c>
      <c r="M310" s="133"/>
      <c r="N310" s="133"/>
      <c r="O310" s="133"/>
      <c r="P310" s="133"/>
      <c r="Q310" s="133"/>
      <c r="R310" s="133"/>
      <c r="S310" s="133"/>
      <c r="T310" s="133"/>
      <c r="U310" s="133"/>
      <c r="V310" s="133"/>
      <c r="W310" s="133"/>
      <c r="X310" s="133"/>
      <c r="Y310" s="133"/>
      <c r="Z310" s="133"/>
      <c r="AA310" s="133"/>
      <c r="AB310" s="133"/>
      <c r="AC310" s="133"/>
      <c r="AD310" s="133"/>
      <c r="AE310" s="133"/>
      <c r="AF310" s="133"/>
      <c r="AG310" s="133"/>
      <c r="AH310" s="133"/>
      <c r="AI310" s="133"/>
      <c r="AJ310" s="133"/>
      <c r="AK310" s="133"/>
      <c r="AL310" s="133"/>
      <c r="AM310" s="133"/>
      <c r="AN310" s="133"/>
      <c r="AO310" s="133"/>
      <c r="AP310" s="133"/>
      <c r="AQ310" s="133"/>
      <c r="AR310" s="133"/>
      <c r="AS310" s="133"/>
      <c r="AT310" s="133"/>
      <c r="AU310" s="133"/>
      <c r="AV310" s="132" t="s">
        <v>1151</v>
      </c>
      <c r="AW310" s="133"/>
      <c r="AX310" s="134">
        <f>'Stavební rozpočet'!F311</f>
        <v>8</v>
      </c>
      <c r="AY310" s="135"/>
      <c r="AZ310" s="135"/>
      <c r="BA310" s="135"/>
      <c r="BB310" s="135"/>
      <c r="BC310" s="134">
        <f>'Stavební rozpočet'!G311</f>
        <v>0</v>
      </c>
      <c r="BD310" s="135"/>
      <c r="BE310" s="135"/>
      <c r="BF310" s="135"/>
      <c r="BG310" s="135"/>
      <c r="BH310" s="135"/>
      <c r="BI310" s="135"/>
      <c r="BJ310" s="135"/>
      <c r="BK310" s="134">
        <f t="shared" si="20"/>
        <v>0</v>
      </c>
      <c r="BL310" s="135"/>
      <c r="BM310" s="135"/>
      <c r="BN310" s="135"/>
      <c r="BO310" s="135"/>
      <c r="BP310" s="135"/>
      <c r="BQ310" s="135"/>
      <c r="BR310" s="135"/>
      <c r="BS310" s="132" t="s">
        <v>1177</v>
      </c>
      <c r="BT310" s="133"/>
      <c r="BU310" s="133"/>
      <c r="BV310" s="133"/>
      <c r="BW310" s="133"/>
      <c r="BX310" s="133"/>
      <c r="IR310" s="46">
        <f t="shared" si="18"/>
        <v>0</v>
      </c>
      <c r="IS310" s="46">
        <f t="shared" si="19"/>
        <v>0</v>
      </c>
    </row>
    <row r="311" spans="1:253" ht="12.75">
      <c r="A311" s="132" t="s">
        <v>257</v>
      </c>
      <c r="B311" s="133"/>
      <c r="C311" s="132"/>
      <c r="D311" s="133"/>
      <c r="E311" s="133"/>
      <c r="F311" s="132" t="s">
        <v>630</v>
      </c>
      <c r="G311" s="133"/>
      <c r="H311" s="133"/>
      <c r="I311" s="133"/>
      <c r="J311" s="133"/>
      <c r="K311" s="133"/>
      <c r="L311" s="132" t="s">
        <v>1021</v>
      </c>
      <c r="M311" s="133"/>
      <c r="N311" s="133"/>
      <c r="O311" s="133"/>
      <c r="P311" s="133"/>
      <c r="Q311" s="133"/>
      <c r="R311" s="133"/>
      <c r="S311" s="133"/>
      <c r="T311" s="133"/>
      <c r="U311" s="133"/>
      <c r="V311" s="133"/>
      <c r="W311" s="133"/>
      <c r="X311" s="133"/>
      <c r="Y311" s="133"/>
      <c r="Z311" s="133"/>
      <c r="AA311" s="133"/>
      <c r="AB311" s="133"/>
      <c r="AC311" s="133"/>
      <c r="AD311" s="133"/>
      <c r="AE311" s="133"/>
      <c r="AF311" s="133"/>
      <c r="AG311" s="133"/>
      <c r="AH311" s="133"/>
      <c r="AI311" s="133"/>
      <c r="AJ311" s="133"/>
      <c r="AK311" s="133"/>
      <c r="AL311" s="133"/>
      <c r="AM311" s="133"/>
      <c r="AN311" s="133"/>
      <c r="AO311" s="133"/>
      <c r="AP311" s="133"/>
      <c r="AQ311" s="133"/>
      <c r="AR311" s="133"/>
      <c r="AS311" s="133"/>
      <c r="AT311" s="133"/>
      <c r="AU311" s="133"/>
      <c r="AV311" s="132" t="s">
        <v>1160</v>
      </c>
      <c r="AW311" s="133"/>
      <c r="AX311" s="134">
        <f>'Stavební rozpočet'!F312</f>
        <v>1</v>
      </c>
      <c r="AY311" s="135"/>
      <c r="AZ311" s="135"/>
      <c r="BA311" s="135"/>
      <c r="BB311" s="135"/>
      <c r="BC311" s="134">
        <f>'Stavební rozpočet'!G312</f>
        <v>0</v>
      </c>
      <c r="BD311" s="135"/>
      <c r="BE311" s="135"/>
      <c r="BF311" s="135"/>
      <c r="BG311" s="135"/>
      <c r="BH311" s="135"/>
      <c r="BI311" s="135"/>
      <c r="BJ311" s="135"/>
      <c r="BK311" s="134">
        <f t="shared" si="20"/>
        <v>0</v>
      </c>
      <c r="BL311" s="135"/>
      <c r="BM311" s="135"/>
      <c r="BN311" s="135"/>
      <c r="BO311" s="135"/>
      <c r="BP311" s="135"/>
      <c r="BQ311" s="135"/>
      <c r="BR311" s="135"/>
      <c r="BS311" s="132" t="s">
        <v>1177</v>
      </c>
      <c r="BT311" s="133"/>
      <c r="BU311" s="133"/>
      <c r="BV311" s="133"/>
      <c r="BW311" s="133"/>
      <c r="BX311" s="133"/>
      <c r="IR311" s="46">
        <f t="shared" si="18"/>
        <v>0</v>
      </c>
      <c r="IS311" s="46">
        <f t="shared" si="19"/>
        <v>0</v>
      </c>
    </row>
    <row r="312" spans="1:76" ht="12.75">
      <c r="A312" s="136" t="s">
        <v>6</v>
      </c>
      <c r="B312" s="137"/>
      <c r="C312" s="136" t="s">
        <v>6</v>
      </c>
      <c r="D312" s="137"/>
      <c r="E312" s="137"/>
      <c r="F312" s="136" t="s">
        <v>631</v>
      </c>
      <c r="G312" s="137"/>
      <c r="H312" s="137"/>
      <c r="I312" s="137"/>
      <c r="J312" s="137"/>
      <c r="K312" s="137"/>
      <c r="L312" s="136" t="s">
        <v>1022</v>
      </c>
      <c r="M312" s="137"/>
      <c r="N312" s="137"/>
      <c r="O312" s="137"/>
      <c r="P312" s="137"/>
      <c r="Q312" s="137"/>
      <c r="R312" s="137"/>
      <c r="S312" s="137"/>
      <c r="T312" s="137"/>
      <c r="U312" s="137"/>
      <c r="V312" s="137"/>
      <c r="W312" s="137"/>
      <c r="X312" s="137"/>
      <c r="Y312" s="137"/>
      <c r="Z312" s="137"/>
      <c r="AA312" s="137"/>
      <c r="AB312" s="137"/>
      <c r="AC312" s="137"/>
      <c r="AD312" s="137"/>
      <c r="AE312" s="137"/>
      <c r="AF312" s="137"/>
      <c r="AG312" s="137"/>
      <c r="AH312" s="137"/>
      <c r="AI312" s="137"/>
      <c r="AJ312" s="137"/>
      <c r="AK312" s="137"/>
      <c r="AL312" s="137"/>
      <c r="AM312" s="137"/>
      <c r="AN312" s="137"/>
      <c r="AO312" s="137"/>
      <c r="AP312" s="137"/>
      <c r="AQ312" s="137"/>
      <c r="AR312" s="137"/>
      <c r="AS312" s="137"/>
      <c r="AT312" s="137"/>
      <c r="AU312" s="137"/>
      <c r="AV312" s="136" t="s">
        <v>6</v>
      </c>
      <c r="AW312" s="137"/>
      <c r="AX312" s="138" t="s">
        <v>6</v>
      </c>
      <c r="AY312" s="139"/>
      <c r="AZ312" s="139"/>
      <c r="BA312" s="139"/>
      <c r="BB312" s="139"/>
      <c r="BC312" s="138" t="s">
        <v>6</v>
      </c>
      <c r="BD312" s="139"/>
      <c r="BE312" s="139"/>
      <c r="BF312" s="139"/>
      <c r="BG312" s="139"/>
      <c r="BH312" s="139"/>
      <c r="BI312" s="139"/>
      <c r="BJ312" s="139"/>
      <c r="BK312" s="140">
        <f>SUM(BK313:BK354)</f>
        <v>0</v>
      </c>
      <c r="BL312" s="139"/>
      <c r="BM312" s="139"/>
      <c r="BN312" s="139"/>
      <c r="BO312" s="139"/>
      <c r="BP312" s="139"/>
      <c r="BQ312" s="139"/>
      <c r="BR312" s="139"/>
      <c r="BS312" s="136" t="s">
        <v>6</v>
      </c>
      <c r="BT312" s="137"/>
      <c r="BU312" s="137"/>
      <c r="BV312" s="137"/>
      <c r="BW312" s="137"/>
      <c r="BX312" s="137"/>
    </row>
    <row r="313" spans="1:253" ht="12.75">
      <c r="A313" s="132" t="s">
        <v>258</v>
      </c>
      <c r="B313" s="133"/>
      <c r="C313" s="132"/>
      <c r="D313" s="133"/>
      <c r="E313" s="133"/>
      <c r="F313" s="132" t="s">
        <v>632</v>
      </c>
      <c r="G313" s="133"/>
      <c r="H313" s="133"/>
      <c r="I313" s="133"/>
      <c r="J313" s="133"/>
      <c r="K313" s="133"/>
      <c r="L313" s="132" t="s">
        <v>1023</v>
      </c>
      <c r="M313" s="133"/>
      <c r="N313" s="133"/>
      <c r="O313" s="133"/>
      <c r="P313" s="133"/>
      <c r="Q313" s="133"/>
      <c r="R313" s="133"/>
      <c r="S313" s="133"/>
      <c r="T313" s="133"/>
      <c r="U313" s="133"/>
      <c r="V313" s="133"/>
      <c r="W313" s="133"/>
      <c r="X313" s="133"/>
      <c r="Y313" s="133"/>
      <c r="Z313" s="133"/>
      <c r="AA313" s="133"/>
      <c r="AB313" s="133"/>
      <c r="AC313" s="133"/>
      <c r="AD313" s="133"/>
      <c r="AE313" s="133"/>
      <c r="AF313" s="133"/>
      <c r="AG313" s="133"/>
      <c r="AH313" s="133"/>
      <c r="AI313" s="133"/>
      <c r="AJ313" s="133"/>
      <c r="AK313" s="133"/>
      <c r="AL313" s="133"/>
      <c r="AM313" s="133"/>
      <c r="AN313" s="133"/>
      <c r="AO313" s="133"/>
      <c r="AP313" s="133"/>
      <c r="AQ313" s="133"/>
      <c r="AR313" s="133"/>
      <c r="AS313" s="133"/>
      <c r="AT313" s="133"/>
      <c r="AU313" s="133"/>
      <c r="AV313" s="132" t="s">
        <v>1153</v>
      </c>
      <c r="AW313" s="133"/>
      <c r="AX313" s="134">
        <f>'Stavební rozpočet'!F314</f>
        <v>1</v>
      </c>
      <c r="AY313" s="135"/>
      <c r="AZ313" s="135"/>
      <c r="BA313" s="135"/>
      <c r="BB313" s="135"/>
      <c r="BC313" s="134">
        <f>'Stavební rozpočet'!G314</f>
        <v>0</v>
      </c>
      <c r="BD313" s="135"/>
      <c r="BE313" s="135"/>
      <c r="BF313" s="135"/>
      <c r="BG313" s="135"/>
      <c r="BH313" s="135"/>
      <c r="BI313" s="135"/>
      <c r="BJ313" s="135"/>
      <c r="BK313" s="134">
        <f aca="true" t="shared" si="21" ref="BK313:BK354">IR313*AX313+IS313*AX313</f>
        <v>0</v>
      </c>
      <c r="BL313" s="135"/>
      <c r="BM313" s="135"/>
      <c r="BN313" s="135"/>
      <c r="BO313" s="135"/>
      <c r="BP313" s="135"/>
      <c r="BQ313" s="135"/>
      <c r="BR313" s="135"/>
      <c r="BS313" s="132" t="s">
        <v>1177</v>
      </c>
      <c r="BT313" s="133"/>
      <c r="BU313" s="133"/>
      <c r="BV313" s="133"/>
      <c r="BW313" s="133"/>
      <c r="BX313" s="133"/>
      <c r="IR313" s="46">
        <f aca="true" t="shared" si="22" ref="IR313:IR354">BC313*0</f>
        <v>0</v>
      </c>
      <c r="IS313" s="46">
        <f aca="true" t="shared" si="23" ref="IS313:IS354">BC313*(1-0)</f>
        <v>0</v>
      </c>
    </row>
    <row r="314" spans="1:253" ht="12.75">
      <c r="A314" s="132" t="s">
        <v>259</v>
      </c>
      <c r="B314" s="133"/>
      <c r="C314" s="132"/>
      <c r="D314" s="133"/>
      <c r="E314" s="133"/>
      <c r="F314" s="132" t="s">
        <v>633</v>
      </c>
      <c r="G314" s="133"/>
      <c r="H314" s="133"/>
      <c r="I314" s="133"/>
      <c r="J314" s="133"/>
      <c r="K314" s="133"/>
      <c r="L314" s="132" t="s">
        <v>1024</v>
      </c>
      <c r="M314" s="133"/>
      <c r="N314" s="133"/>
      <c r="O314" s="133"/>
      <c r="P314" s="133"/>
      <c r="Q314" s="133"/>
      <c r="R314" s="133"/>
      <c r="S314" s="133"/>
      <c r="T314" s="133"/>
      <c r="U314" s="133"/>
      <c r="V314" s="133"/>
      <c r="W314" s="133"/>
      <c r="X314" s="133"/>
      <c r="Y314" s="133"/>
      <c r="Z314" s="133"/>
      <c r="AA314" s="133"/>
      <c r="AB314" s="133"/>
      <c r="AC314" s="133"/>
      <c r="AD314" s="133"/>
      <c r="AE314" s="133"/>
      <c r="AF314" s="133"/>
      <c r="AG314" s="133"/>
      <c r="AH314" s="133"/>
      <c r="AI314" s="133"/>
      <c r="AJ314" s="133"/>
      <c r="AK314" s="133"/>
      <c r="AL314" s="133"/>
      <c r="AM314" s="133"/>
      <c r="AN314" s="133"/>
      <c r="AO314" s="133"/>
      <c r="AP314" s="133"/>
      <c r="AQ314" s="133"/>
      <c r="AR314" s="133"/>
      <c r="AS314" s="133"/>
      <c r="AT314" s="133"/>
      <c r="AU314" s="133"/>
      <c r="AV314" s="132" t="s">
        <v>1154</v>
      </c>
      <c r="AW314" s="133"/>
      <c r="AX314" s="134">
        <f>'Stavební rozpočet'!F315</f>
        <v>3</v>
      </c>
      <c r="AY314" s="135"/>
      <c r="AZ314" s="135"/>
      <c r="BA314" s="135"/>
      <c r="BB314" s="135"/>
      <c r="BC314" s="134">
        <f>'Stavební rozpočet'!G315</f>
        <v>0</v>
      </c>
      <c r="BD314" s="135"/>
      <c r="BE314" s="135"/>
      <c r="BF314" s="135"/>
      <c r="BG314" s="135"/>
      <c r="BH314" s="135"/>
      <c r="BI314" s="135"/>
      <c r="BJ314" s="135"/>
      <c r="BK314" s="134">
        <f t="shared" si="21"/>
        <v>0</v>
      </c>
      <c r="BL314" s="135"/>
      <c r="BM314" s="135"/>
      <c r="BN314" s="135"/>
      <c r="BO314" s="135"/>
      <c r="BP314" s="135"/>
      <c r="BQ314" s="135"/>
      <c r="BR314" s="135"/>
      <c r="BS314" s="132" t="s">
        <v>1177</v>
      </c>
      <c r="BT314" s="133"/>
      <c r="BU314" s="133"/>
      <c r="BV314" s="133"/>
      <c r="BW314" s="133"/>
      <c r="BX314" s="133"/>
      <c r="IR314" s="46">
        <f t="shared" si="22"/>
        <v>0</v>
      </c>
      <c r="IS314" s="46">
        <f t="shared" si="23"/>
        <v>0</v>
      </c>
    </row>
    <row r="315" spans="1:253" ht="12.75">
      <c r="A315" s="132" t="s">
        <v>260</v>
      </c>
      <c r="B315" s="133"/>
      <c r="C315" s="132"/>
      <c r="D315" s="133"/>
      <c r="E315" s="133"/>
      <c r="F315" s="132" t="s">
        <v>556</v>
      </c>
      <c r="G315" s="133"/>
      <c r="H315" s="133"/>
      <c r="I315" s="133"/>
      <c r="J315" s="133"/>
      <c r="K315" s="133"/>
      <c r="L315" s="132" t="s">
        <v>1025</v>
      </c>
      <c r="M315" s="133"/>
      <c r="N315" s="133"/>
      <c r="O315" s="133"/>
      <c r="P315" s="133"/>
      <c r="Q315" s="133"/>
      <c r="R315" s="133"/>
      <c r="S315" s="133"/>
      <c r="T315" s="133"/>
      <c r="U315" s="133"/>
      <c r="V315" s="133"/>
      <c r="W315" s="133"/>
      <c r="X315" s="133"/>
      <c r="Y315" s="133"/>
      <c r="Z315" s="133"/>
      <c r="AA315" s="133"/>
      <c r="AB315" s="133"/>
      <c r="AC315" s="133"/>
      <c r="AD315" s="133"/>
      <c r="AE315" s="133"/>
      <c r="AF315" s="133"/>
      <c r="AG315" s="133"/>
      <c r="AH315" s="133"/>
      <c r="AI315" s="133"/>
      <c r="AJ315" s="133"/>
      <c r="AK315" s="133"/>
      <c r="AL315" s="133"/>
      <c r="AM315" s="133"/>
      <c r="AN315" s="133"/>
      <c r="AO315" s="133"/>
      <c r="AP315" s="133"/>
      <c r="AQ315" s="133"/>
      <c r="AR315" s="133"/>
      <c r="AS315" s="133"/>
      <c r="AT315" s="133"/>
      <c r="AU315" s="133"/>
      <c r="AV315" s="132" t="s">
        <v>1153</v>
      </c>
      <c r="AW315" s="133"/>
      <c r="AX315" s="134">
        <f>'Stavební rozpočet'!F316</f>
        <v>1</v>
      </c>
      <c r="AY315" s="135"/>
      <c r="AZ315" s="135"/>
      <c r="BA315" s="135"/>
      <c r="BB315" s="135"/>
      <c r="BC315" s="134">
        <f>'Stavební rozpočet'!G316</f>
        <v>0</v>
      </c>
      <c r="BD315" s="135"/>
      <c r="BE315" s="135"/>
      <c r="BF315" s="135"/>
      <c r="BG315" s="135"/>
      <c r="BH315" s="135"/>
      <c r="BI315" s="135"/>
      <c r="BJ315" s="135"/>
      <c r="BK315" s="134">
        <f t="shared" si="21"/>
        <v>0</v>
      </c>
      <c r="BL315" s="135"/>
      <c r="BM315" s="135"/>
      <c r="BN315" s="135"/>
      <c r="BO315" s="135"/>
      <c r="BP315" s="135"/>
      <c r="BQ315" s="135"/>
      <c r="BR315" s="135"/>
      <c r="BS315" s="132" t="s">
        <v>1177</v>
      </c>
      <c r="BT315" s="133"/>
      <c r="BU315" s="133"/>
      <c r="BV315" s="133"/>
      <c r="BW315" s="133"/>
      <c r="BX315" s="133"/>
      <c r="IR315" s="46">
        <f t="shared" si="22"/>
        <v>0</v>
      </c>
      <c r="IS315" s="46">
        <f t="shared" si="23"/>
        <v>0</v>
      </c>
    </row>
    <row r="316" spans="1:253" ht="12.75">
      <c r="A316" s="132" t="s">
        <v>261</v>
      </c>
      <c r="B316" s="133"/>
      <c r="C316" s="132"/>
      <c r="D316" s="133"/>
      <c r="E316" s="133"/>
      <c r="F316" s="132" t="s">
        <v>576</v>
      </c>
      <c r="G316" s="133"/>
      <c r="H316" s="133"/>
      <c r="I316" s="133"/>
      <c r="J316" s="133"/>
      <c r="K316" s="133"/>
      <c r="L316" s="132" t="s">
        <v>971</v>
      </c>
      <c r="M316" s="133"/>
      <c r="N316" s="133"/>
      <c r="O316" s="133"/>
      <c r="P316" s="133"/>
      <c r="Q316" s="133"/>
      <c r="R316" s="133"/>
      <c r="S316" s="133"/>
      <c r="T316" s="133"/>
      <c r="U316" s="133"/>
      <c r="V316" s="133"/>
      <c r="W316" s="133"/>
      <c r="X316" s="133"/>
      <c r="Y316" s="133"/>
      <c r="Z316" s="133"/>
      <c r="AA316" s="133"/>
      <c r="AB316" s="133"/>
      <c r="AC316" s="133"/>
      <c r="AD316" s="133"/>
      <c r="AE316" s="133"/>
      <c r="AF316" s="133"/>
      <c r="AG316" s="133"/>
      <c r="AH316" s="133"/>
      <c r="AI316" s="133"/>
      <c r="AJ316" s="133"/>
      <c r="AK316" s="133"/>
      <c r="AL316" s="133"/>
      <c r="AM316" s="133"/>
      <c r="AN316" s="133"/>
      <c r="AO316" s="133"/>
      <c r="AP316" s="133"/>
      <c r="AQ316" s="133"/>
      <c r="AR316" s="133"/>
      <c r="AS316" s="133"/>
      <c r="AT316" s="133"/>
      <c r="AU316" s="133"/>
      <c r="AV316" s="132" t="s">
        <v>1154</v>
      </c>
      <c r="AW316" s="133"/>
      <c r="AX316" s="134">
        <f>'Stavební rozpočet'!F317</f>
        <v>2</v>
      </c>
      <c r="AY316" s="135"/>
      <c r="AZ316" s="135"/>
      <c r="BA316" s="135"/>
      <c r="BB316" s="135"/>
      <c r="BC316" s="134">
        <f>'Stavební rozpočet'!G317</f>
        <v>0</v>
      </c>
      <c r="BD316" s="135"/>
      <c r="BE316" s="135"/>
      <c r="BF316" s="135"/>
      <c r="BG316" s="135"/>
      <c r="BH316" s="135"/>
      <c r="BI316" s="135"/>
      <c r="BJ316" s="135"/>
      <c r="BK316" s="134">
        <f t="shared" si="21"/>
        <v>0</v>
      </c>
      <c r="BL316" s="135"/>
      <c r="BM316" s="135"/>
      <c r="BN316" s="135"/>
      <c r="BO316" s="135"/>
      <c r="BP316" s="135"/>
      <c r="BQ316" s="135"/>
      <c r="BR316" s="135"/>
      <c r="BS316" s="132" t="s">
        <v>1177</v>
      </c>
      <c r="BT316" s="133"/>
      <c r="BU316" s="133"/>
      <c r="BV316" s="133"/>
      <c r="BW316" s="133"/>
      <c r="BX316" s="133"/>
      <c r="IR316" s="46">
        <f t="shared" si="22"/>
        <v>0</v>
      </c>
      <c r="IS316" s="46">
        <f t="shared" si="23"/>
        <v>0</v>
      </c>
    </row>
    <row r="317" spans="1:253" ht="12.75">
      <c r="A317" s="132" t="s">
        <v>262</v>
      </c>
      <c r="B317" s="133"/>
      <c r="C317" s="132"/>
      <c r="D317" s="133"/>
      <c r="E317" s="133"/>
      <c r="F317" s="132" t="s">
        <v>577</v>
      </c>
      <c r="G317" s="133"/>
      <c r="H317" s="133"/>
      <c r="I317" s="133"/>
      <c r="J317" s="133"/>
      <c r="K317" s="133"/>
      <c r="L317" s="132" t="s">
        <v>972</v>
      </c>
      <c r="M317" s="133"/>
      <c r="N317" s="133"/>
      <c r="O317" s="133"/>
      <c r="P317" s="133"/>
      <c r="Q317" s="133"/>
      <c r="R317" s="133"/>
      <c r="S317" s="133"/>
      <c r="T317" s="133"/>
      <c r="U317" s="133"/>
      <c r="V317" s="133"/>
      <c r="W317" s="133"/>
      <c r="X317" s="133"/>
      <c r="Y317" s="133"/>
      <c r="Z317" s="133"/>
      <c r="AA317" s="133"/>
      <c r="AB317" s="133"/>
      <c r="AC317" s="133"/>
      <c r="AD317" s="133"/>
      <c r="AE317" s="133"/>
      <c r="AF317" s="133"/>
      <c r="AG317" s="133"/>
      <c r="AH317" s="133"/>
      <c r="AI317" s="133"/>
      <c r="AJ317" s="133"/>
      <c r="AK317" s="133"/>
      <c r="AL317" s="133"/>
      <c r="AM317" s="133"/>
      <c r="AN317" s="133"/>
      <c r="AO317" s="133"/>
      <c r="AP317" s="133"/>
      <c r="AQ317" s="133"/>
      <c r="AR317" s="133"/>
      <c r="AS317" s="133"/>
      <c r="AT317" s="133"/>
      <c r="AU317" s="133"/>
      <c r="AV317" s="132" t="s">
        <v>1154</v>
      </c>
      <c r="AW317" s="133"/>
      <c r="AX317" s="134">
        <f>'Stavební rozpočet'!F318</f>
        <v>2</v>
      </c>
      <c r="AY317" s="135"/>
      <c r="AZ317" s="135"/>
      <c r="BA317" s="135"/>
      <c r="BB317" s="135"/>
      <c r="BC317" s="134">
        <f>'Stavební rozpočet'!G318</f>
        <v>0</v>
      </c>
      <c r="BD317" s="135"/>
      <c r="BE317" s="135"/>
      <c r="BF317" s="135"/>
      <c r="BG317" s="135"/>
      <c r="BH317" s="135"/>
      <c r="BI317" s="135"/>
      <c r="BJ317" s="135"/>
      <c r="BK317" s="134">
        <f t="shared" si="21"/>
        <v>0</v>
      </c>
      <c r="BL317" s="135"/>
      <c r="BM317" s="135"/>
      <c r="BN317" s="135"/>
      <c r="BO317" s="135"/>
      <c r="BP317" s="135"/>
      <c r="BQ317" s="135"/>
      <c r="BR317" s="135"/>
      <c r="BS317" s="132" t="s">
        <v>1177</v>
      </c>
      <c r="BT317" s="133"/>
      <c r="BU317" s="133"/>
      <c r="BV317" s="133"/>
      <c r="BW317" s="133"/>
      <c r="BX317" s="133"/>
      <c r="IR317" s="46">
        <f t="shared" si="22"/>
        <v>0</v>
      </c>
      <c r="IS317" s="46">
        <f t="shared" si="23"/>
        <v>0</v>
      </c>
    </row>
    <row r="318" spans="1:253" ht="12.75">
      <c r="A318" s="132" t="s">
        <v>263</v>
      </c>
      <c r="B318" s="133"/>
      <c r="C318" s="132"/>
      <c r="D318" s="133"/>
      <c r="E318" s="133"/>
      <c r="F318" s="132" t="s">
        <v>578</v>
      </c>
      <c r="G318" s="133"/>
      <c r="H318" s="133"/>
      <c r="I318" s="133"/>
      <c r="J318" s="133"/>
      <c r="K318" s="133"/>
      <c r="L318" s="132" t="s">
        <v>973</v>
      </c>
      <c r="M318" s="133"/>
      <c r="N318" s="133"/>
      <c r="O318" s="133"/>
      <c r="P318" s="133"/>
      <c r="Q318" s="133"/>
      <c r="R318" s="133"/>
      <c r="S318" s="133"/>
      <c r="T318" s="133"/>
      <c r="U318" s="133"/>
      <c r="V318" s="133"/>
      <c r="W318" s="133"/>
      <c r="X318" s="133"/>
      <c r="Y318" s="133"/>
      <c r="Z318" s="133"/>
      <c r="AA318" s="133"/>
      <c r="AB318" s="133"/>
      <c r="AC318" s="133"/>
      <c r="AD318" s="133"/>
      <c r="AE318" s="133"/>
      <c r="AF318" s="133"/>
      <c r="AG318" s="133"/>
      <c r="AH318" s="133"/>
      <c r="AI318" s="133"/>
      <c r="AJ318" s="133"/>
      <c r="AK318" s="133"/>
      <c r="AL318" s="133"/>
      <c r="AM318" s="133"/>
      <c r="AN318" s="133"/>
      <c r="AO318" s="133"/>
      <c r="AP318" s="133"/>
      <c r="AQ318" s="133"/>
      <c r="AR318" s="133"/>
      <c r="AS318" s="133"/>
      <c r="AT318" s="133"/>
      <c r="AU318" s="133"/>
      <c r="AV318" s="132" t="s">
        <v>1154</v>
      </c>
      <c r="AW318" s="133"/>
      <c r="AX318" s="134">
        <f>'Stavební rozpočet'!F319</f>
        <v>5</v>
      </c>
      <c r="AY318" s="135"/>
      <c r="AZ318" s="135"/>
      <c r="BA318" s="135"/>
      <c r="BB318" s="135"/>
      <c r="BC318" s="134">
        <f>'Stavební rozpočet'!G319</f>
        <v>0</v>
      </c>
      <c r="BD318" s="135"/>
      <c r="BE318" s="135"/>
      <c r="BF318" s="135"/>
      <c r="BG318" s="135"/>
      <c r="BH318" s="135"/>
      <c r="BI318" s="135"/>
      <c r="BJ318" s="135"/>
      <c r="BK318" s="134">
        <f t="shared" si="21"/>
        <v>0</v>
      </c>
      <c r="BL318" s="135"/>
      <c r="BM318" s="135"/>
      <c r="BN318" s="135"/>
      <c r="BO318" s="135"/>
      <c r="BP318" s="135"/>
      <c r="BQ318" s="135"/>
      <c r="BR318" s="135"/>
      <c r="BS318" s="132" t="s">
        <v>1177</v>
      </c>
      <c r="BT318" s="133"/>
      <c r="BU318" s="133"/>
      <c r="BV318" s="133"/>
      <c r="BW318" s="133"/>
      <c r="BX318" s="133"/>
      <c r="IR318" s="46">
        <f t="shared" si="22"/>
        <v>0</v>
      </c>
      <c r="IS318" s="46">
        <f t="shared" si="23"/>
        <v>0</v>
      </c>
    </row>
    <row r="319" spans="1:253" ht="12.75">
      <c r="A319" s="132" t="s">
        <v>264</v>
      </c>
      <c r="B319" s="133"/>
      <c r="C319" s="132"/>
      <c r="D319" s="133"/>
      <c r="E319" s="133"/>
      <c r="F319" s="132" t="s">
        <v>579</v>
      </c>
      <c r="G319" s="133"/>
      <c r="H319" s="133"/>
      <c r="I319" s="133"/>
      <c r="J319" s="133"/>
      <c r="K319" s="133"/>
      <c r="L319" s="132" t="s">
        <v>973</v>
      </c>
      <c r="M319" s="133"/>
      <c r="N319" s="133"/>
      <c r="O319" s="133"/>
      <c r="P319" s="133"/>
      <c r="Q319" s="133"/>
      <c r="R319" s="133"/>
      <c r="S319" s="133"/>
      <c r="T319" s="133"/>
      <c r="U319" s="133"/>
      <c r="V319" s="133"/>
      <c r="W319" s="133"/>
      <c r="X319" s="133"/>
      <c r="Y319" s="133"/>
      <c r="Z319" s="133"/>
      <c r="AA319" s="133"/>
      <c r="AB319" s="133"/>
      <c r="AC319" s="133"/>
      <c r="AD319" s="133"/>
      <c r="AE319" s="133"/>
      <c r="AF319" s="133"/>
      <c r="AG319" s="133"/>
      <c r="AH319" s="133"/>
      <c r="AI319" s="133"/>
      <c r="AJ319" s="133"/>
      <c r="AK319" s="133"/>
      <c r="AL319" s="133"/>
      <c r="AM319" s="133"/>
      <c r="AN319" s="133"/>
      <c r="AO319" s="133"/>
      <c r="AP319" s="133"/>
      <c r="AQ319" s="133"/>
      <c r="AR319" s="133"/>
      <c r="AS319" s="133"/>
      <c r="AT319" s="133"/>
      <c r="AU319" s="133"/>
      <c r="AV319" s="132" t="s">
        <v>1154</v>
      </c>
      <c r="AW319" s="133"/>
      <c r="AX319" s="134">
        <f>'Stavební rozpočet'!F320</f>
        <v>5</v>
      </c>
      <c r="AY319" s="135"/>
      <c r="AZ319" s="135"/>
      <c r="BA319" s="135"/>
      <c r="BB319" s="135"/>
      <c r="BC319" s="134">
        <f>'Stavební rozpočet'!G320</f>
        <v>0</v>
      </c>
      <c r="BD319" s="135"/>
      <c r="BE319" s="135"/>
      <c r="BF319" s="135"/>
      <c r="BG319" s="135"/>
      <c r="BH319" s="135"/>
      <c r="BI319" s="135"/>
      <c r="BJ319" s="135"/>
      <c r="BK319" s="134">
        <f t="shared" si="21"/>
        <v>0</v>
      </c>
      <c r="BL319" s="135"/>
      <c r="BM319" s="135"/>
      <c r="BN319" s="135"/>
      <c r="BO319" s="135"/>
      <c r="BP319" s="135"/>
      <c r="BQ319" s="135"/>
      <c r="BR319" s="135"/>
      <c r="BS319" s="132" t="s">
        <v>1177</v>
      </c>
      <c r="BT319" s="133"/>
      <c r="BU319" s="133"/>
      <c r="BV319" s="133"/>
      <c r="BW319" s="133"/>
      <c r="BX319" s="133"/>
      <c r="IR319" s="46">
        <f t="shared" si="22"/>
        <v>0</v>
      </c>
      <c r="IS319" s="46">
        <f t="shared" si="23"/>
        <v>0</v>
      </c>
    </row>
    <row r="320" spans="1:253" ht="12.75">
      <c r="A320" s="132" t="s">
        <v>265</v>
      </c>
      <c r="B320" s="133"/>
      <c r="C320" s="132"/>
      <c r="D320" s="133"/>
      <c r="E320" s="133"/>
      <c r="F320" s="132" t="s">
        <v>598</v>
      </c>
      <c r="G320" s="133"/>
      <c r="H320" s="133"/>
      <c r="I320" s="133"/>
      <c r="J320" s="133"/>
      <c r="K320" s="133"/>
      <c r="L320" s="132" t="s">
        <v>992</v>
      </c>
      <c r="M320" s="133"/>
      <c r="N320" s="133"/>
      <c r="O320" s="133"/>
      <c r="P320" s="133"/>
      <c r="Q320" s="133"/>
      <c r="R320" s="133"/>
      <c r="S320" s="133"/>
      <c r="T320" s="133"/>
      <c r="U320" s="133"/>
      <c r="V320" s="133"/>
      <c r="W320" s="133"/>
      <c r="X320" s="133"/>
      <c r="Y320" s="133"/>
      <c r="Z320" s="133"/>
      <c r="AA320" s="133"/>
      <c r="AB320" s="133"/>
      <c r="AC320" s="133"/>
      <c r="AD320" s="133"/>
      <c r="AE320" s="133"/>
      <c r="AF320" s="133"/>
      <c r="AG320" s="133"/>
      <c r="AH320" s="133"/>
      <c r="AI320" s="133"/>
      <c r="AJ320" s="133"/>
      <c r="AK320" s="133"/>
      <c r="AL320" s="133"/>
      <c r="AM320" s="133"/>
      <c r="AN320" s="133"/>
      <c r="AO320" s="133"/>
      <c r="AP320" s="133"/>
      <c r="AQ320" s="133"/>
      <c r="AR320" s="133"/>
      <c r="AS320" s="133"/>
      <c r="AT320" s="133"/>
      <c r="AU320" s="133"/>
      <c r="AV320" s="132" t="s">
        <v>1153</v>
      </c>
      <c r="AW320" s="133"/>
      <c r="AX320" s="134">
        <f>'Stavební rozpočet'!F321</f>
        <v>1</v>
      </c>
      <c r="AY320" s="135"/>
      <c r="AZ320" s="135"/>
      <c r="BA320" s="135"/>
      <c r="BB320" s="135"/>
      <c r="BC320" s="134">
        <f>'Stavební rozpočet'!G321</f>
        <v>0</v>
      </c>
      <c r="BD320" s="135"/>
      <c r="BE320" s="135"/>
      <c r="BF320" s="135"/>
      <c r="BG320" s="135"/>
      <c r="BH320" s="135"/>
      <c r="BI320" s="135"/>
      <c r="BJ320" s="135"/>
      <c r="BK320" s="134">
        <f t="shared" si="21"/>
        <v>0</v>
      </c>
      <c r="BL320" s="135"/>
      <c r="BM320" s="135"/>
      <c r="BN320" s="135"/>
      <c r="BO320" s="135"/>
      <c r="BP320" s="135"/>
      <c r="BQ320" s="135"/>
      <c r="BR320" s="135"/>
      <c r="BS320" s="132" t="s">
        <v>1177</v>
      </c>
      <c r="BT320" s="133"/>
      <c r="BU320" s="133"/>
      <c r="BV320" s="133"/>
      <c r="BW320" s="133"/>
      <c r="BX320" s="133"/>
      <c r="IR320" s="46">
        <f t="shared" si="22"/>
        <v>0</v>
      </c>
      <c r="IS320" s="46">
        <f t="shared" si="23"/>
        <v>0</v>
      </c>
    </row>
    <row r="321" spans="1:253" ht="12.75">
      <c r="A321" s="132" t="s">
        <v>266</v>
      </c>
      <c r="B321" s="133"/>
      <c r="C321" s="132"/>
      <c r="D321" s="133"/>
      <c r="E321" s="133"/>
      <c r="F321" s="132" t="s">
        <v>599</v>
      </c>
      <c r="G321" s="133"/>
      <c r="H321" s="133"/>
      <c r="I321" s="133"/>
      <c r="J321" s="133"/>
      <c r="K321" s="133"/>
      <c r="L321" s="132" t="s">
        <v>1026</v>
      </c>
      <c r="M321" s="133"/>
      <c r="N321" s="133"/>
      <c r="O321" s="133"/>
      <c r="P321" s="133"/>
      <c r="Q321" s="133"/>
      <c r="R321" s="133"/>
      <c r="S321" s="133"/>
      <c r="T321" s="133"/>
      <c r="U321" s="133"/>
      <c r="V321" s="133"/>
      <c r="W321" s="133"/>
      <c r="X321" s="133"/>
      <c r="Y321" s="133"/>
      <c r="Z321" s="133"/>
      <c r="AA321" s="133"/>
      <c r="AB321" s="133"/>
      <c r="AC321" s="133"/>
      <c r="AD321" s="133"/>
      <c r="AE321" s="133"/>
      <c r="AF321" s="133"/>
      <c r="AG321" s="133"/>
      <c r="AH321" s="133"/>
      <c r="AI321" s="133"/>
      <c r="AJ321" s="133"/>
      <c r="AK321" s="133"/>
      <c r="AL321" s="133"/>
      <c r="AM321" s="133"/>
      <c r="AN321" s="133"/>
      <c r="AO321" s="133"/>
      <c r="AP321" s="133"/>
      <c r="AQ321" s="133"/>
      <c r="AR321" s="133"/>
      <c r="AS321" s="133"/>
      <c r="AT321" s="133"/>
      <c r="AU321" s="133"/>
      <c r="AV321" s="132" t="s">
        <v>1153</v>
      </c>
      <c r="AW321" s="133"/>
      <c r="AX321" s="134">
        <f>'Stavební rozpočet'!F322</f>
        <v>1</v>
      </c>
      <c r="AY321" s="135"/>
      <c r="AZ321" s="135"/>
      <c r="BA321" s="135"/>
      <c r="BB321" s="135"/>
      <c r="BC321" s="134">
        <f>'Stavební rozpočet'!G322</f>
        <v>0</v>
      </c>
      <c r="BD321" s="135"/>
      <c r="BE321" s="135"/>
      <c r="BF321" s="135"/>
      <c r="BG321" s="135"/>
      <c r="BH321" s="135"/>
      <c r="BI321" s="135"/>
      <c r="BJ321" s="135"/>
      <c r="BK321" s="134">
        <f t="shared" si="21"/>
        <v>0</v>
      </c>
      <c r="BL321" s="135"/>
      <c r="BM321" s="135"/>
      <c r="BN321" s="135"/>
      <c r="BO321" s="135"/>
      <c r="BP321" s="135"/>
      <c r="BQ321" s="135"/>
      <c r="BR321" s="135"/>
      <c r="BS321" s="132" t="s">
        <v>1177</v>
      </c>
      <c r="BT321" s="133"/>
      <c r="BU321" s="133"/>
      <c r="BV321" s="133"/>
      <c r="BW321" s="133"/>
      <c r="BX321" s="133"/>
      <c r="IR321" s="46">
        <f t="shared" si="22"/>
        <v>0</v>
      </c>
      <c r="IS321" s="46">
        <f t="shared" si="23"/>
        <v>0</v>
      </c>
    </row>
    <row r="322" spans="1:253" ht="12.75">
      <c r="A322" s="132" t="s">
        <v>267</v>
      </c>
      <c r="B322" s="133"/>
      <c r="C322" s="132"/>
      <c r="D322" s="133"/>
      <c r="E322" s="133"/>
      <c r="F322" s="132" t="s">
        <v>634</v>
      </c>
      <c r="G322" s="133"/>
      <c r="H322" s="133"/>
      <c r="I322" s="133"/>
      <c r="J322" s="133"/>
      <c r="K322" s="133"/>
      <c r="L322" s="132" t="s">
        <v>1027</v>
      </c>
      <c r="M322" s="133"/>
      <c r="N322" s="133"/>
      <c r="O322" s="133"/>
      <c r="P322" s="133"/>
      <c r="Q322" s="133"/>
      <c r="R322" s="133"/>
      <c r="S322" s="133"/>
      <c r="T322" s="133"/>
      <c r="U322" s="133"/>
      <c r="V322" s="133"/>
      <c r="W322" s="133"/>
      <c r="X322" s="133"/>
      <c r="Y322" s="133"/>
      <c r="Z322" s="133"/>
      <c r="AA322" s="133"/>
      <c r="AB322" s="133"/>
      <c r="AC322" s="133"/>
      <c r="AD322" s="133"/>
      <c r="AE322" s="133"/>
      <c r="AF322" s="133"/>
      <c r="AG322" s="133"/>
      <c r="AH322" s="133"/>
      <c r="AI322" s="133"/>
      <c r="AJ322" s="133"/>
      <c r="AK322" s="133"/>
      <c r="AL322" s="133"/>
      <c r="AM322" s="133"/>
      <c r="AN322" s="133"/>
      <c r="AO322" s="133"/>
      <c r="AP322" s="133"/>
      <c r="AQ322" s="133"/>
      <c r="AR322" s="133"/>
      <c r="AS322" s="133"/>
      <c r="AT322" s="133"/>
      <c r="AU322" s="133"/>
      <c r="AV322" s="132" t="s">
        <v>1154</v>
      </c>
      <c r="AW322" s="133"/>
      <c r="AX322" s="134">
        <f>'Stavební rozpočet'!F323</f>
        <v>96</v>
      </c>
      <c r="AY322" s="135"/>
      <c r="AZ322" s="135"/>
      <c r="BA322" s="135"/>
      <c r="BB322" s="135"/>
      <c r="BC322" s="134">
        <f>'Stavební rozpočet'!G323</f>
        <v>0</v>
      </c>
      <c r="BD322" s="135"/>
      <c r="BE322" s="135"/>
      <c r="BF322" s="135"/>
      <c r="BG322" s="135"/>
      <c r="BH322" s="135"/>
      <c r="BI322" s="135"/>
      <c r="BJ322" s="135"/>
      <c r="BK322" s="134">
        <f t="shared" si="21"/>
        <v>0</v>
      </c>
      <c r="BL322" s="135"/>
      <c r="BM322" s="135"/>
      <c r="BN322" s="135"/>
      <c r="BO322" s="135"/>
      <c r="BP322" s="135"/>
      <c r="BQ322" s="135"/>
      <c r="BR322" s="135"/>
      <c r="BS322" s="132" t="s">
        <v>1177</v>
      </c>
      <c r="BT322" s="133"/>
      <c r="BU322" s="133"/>
      <c r="BV322" s="133"/>
      <c r="BW322" s="133"/>
      <c r="BX322" s="133"/>
      <c r="IR322" s="46">
        <f t="shared" si="22"/>
        <v>0</v>
      </c>
      <c r="IS322" s="46">
        <f t="shared" si="23"/>
        <v>0</v>
      </c>
    </row>
    <row r="323" spans="1:253" ht="12.75">
      <c r="A323" s="132" t="s">
        <v>268</v>
      </c>
      <c r="B323" s="133"/>
      <c r="C323" s="132"/>
      <c r="D323" s="133"/>
      <c r="E323" s="133"/>
      <c r="F323" s="132" t="s">
        <v>635</v>
      </c>
      <c r="G323" s="133"/>
      <c r="H323" s="133"/>
      <c r="I323" s="133"/>
      <c r="J323" s="133"/>
      <c r="K323" s="133"/>
      <c r="L323" s="132" t="s">
        <v>1027</v>
      </c>
      <c r="M323" s="133"/>
      <c r="N323" s="133"/>
      <c r="O323" s="133"/>
      <c r="P323" s="133"/>
      <c r="Q323" s="133"/>
      <c r="R323" s="133"/>
      <c r="S323" s="133"/>
      <c r="T323" s="133"/>
      <c r="U323" s="133"/>
      <c r="V323" s="133"/>
      <c r="W323" s="133"/>
      <c r="X323" s="133"/>
      <c r="Y323" s="133"/>
      <c r="Z323" s="133"/>
      <c r="AA323" s="133"/>
      <c r="AB323" s="133"/>
      <c r="AC323" s="133"/>
      <c r="AD323" s="133"/>
      <c r="AE323" s="133"/>
      <c r="AF323" s="133"/>
      <c r="AG323" s="133"/>
      <c r="AH323" s="133"/>
      <c r="AI323" s="133"/>
      <c r="AJ323" s="133"/>
      <c r="AK323" s="133"/>
      <c r="AL323" s="133"/>
      <c r="AM323" s="133"/>
      <c r="AN323" s="133"/>
      <c r="AO323" s="133"/>
      <c r="AP323" s="133"/>
      <c r="AQ323" s="133"/>
      <c r="AR323" s="133"/>
      <c r="AS323" s="133"/>
      <c r="AT323" s="133"/>
      <c r="AU323" s="133"/>
      <c r="AV323" s="132" t="s">
        <v>1154</v>
      </c>
      <c r="AW323" s="133"/>
      <c r="AX323" s="134">
        <f>'Stavební rozpočet'!F324</f>
        <v>96</v>
      </c>
      <c r="AY323" s="135"/>
      <c r="AZ323" s="135"/>
      <c r="BA323" s="135"/>
      <c r="BB323" s="135"/>
      <c r="BC323" s="134">
        <f>'Stavební rozpočet'!G324</f>
        <v>0</v>
      </c>
      <c r="BD323" s="135"/>
      <c r="BE323" s="135"/>
      <c r="BF323" s="135"/>
      <c r="BG323" s="135"/>
      <c r="BH323" s="135"/>
      <c r="BI323" s="135"/>
      <c r="BJ323" s="135"/>
      <c r="BK323" s="134">
        <f t="shared" si="21"/>
        <v>0</v>
      </c>
      <c r="BL323" s="135"/>
      <c r="BM323" s="135"/>
      <c r="BN323" s="135"/>
      <c r="BO323" s="135"/>
      <c r="BP323" s="135"/>
      <c r="BQ323" s="135"/>
      <c r="BR323" s="135"/>
      <c r="BS323" s="132" t="s">
        <v>1177</v>
      </c>
      <c r="BT323" s="133"/>
      <c r="BU323" s="133"/>
      <c r="BV323" s="133"/>
      <c r="BW323" s="133"/>
      <c r="BX323" s="133"/>
      <c r="IR323" s="46">
        <f t="shared" si="22"/>
        <v>0</v>
      </c>
      <c r="IS323" s="46">
        <f t="shared" si="23"/>
        <v>0</v>
      </c>
    </row>
    <row r="324" spans="1:253" ht="12.75">
      <c r="A324" s="132" t="s">
        <v>269</v>
      </c>
      <c r="B324" s="133"/>
      <c r="C324" s="132"/>
      <c r="D324" s="133"/>
      <c r="E324" s="133"/>
      <c r="F324" s="132" t="s">
        <v>636</v>
      </c>
      <c r="G324" s="133"/>
      <c r="H324" s="133"/>
      <c r="I324" s="133"/>
      <c r="J324" s="133"/>
      <c r="K324" s="133"/>
      <c r="L324" s="132" t="s">
        <v>1028</v>
      </c>
      <c r="M324" s="133"/>
      <c r="N324" s="133"/>
      <c r="O324" s="133"/>
      <c r="P324" s="133"/>
      <c r="Q324" s="133"/>
      <c r="R324" s="133"/>
      <c r="S324" s="133"/>
      <c r="T324" s="133"/>
      <c r="U324" s="133"/>
      <c r="V324" s="133"/>
      <c r="W324" s="133"/>
      <c r="X324" s="133"/>
      <c r="Y324" s="133"/>
      <c r="Z324" s="133"/>
      <c r="AA324" s="133"/>
      <c r="AB324" s="133"/>
      <c r="AC324" s="133"/>
      <c r="AD324" s="133"/>
      <c r="AE324" s="133"/>
      <c r="AF324" s="133"/>
      <c r="AG324" s="133"/>
      <c r="AH324" s="133"/>
      <c r="AI324" s="133"/>
      <c r="AJ324" s="133"/>
      <c r="AK324" s="133"/>
      <c r="AL324" s="133"/>
      <c r="AM324" s="133"/>
      <c r="AN324" s="133"/>
      <c r="AO324" s="133"/>
      <c r="AP324" s="133"/>
      <c r="AQ324" s="133"/>
      <c r="AR324" s="133"/>
      <c r="AS324" s="133"/>
      <c r="AT324" s="133"/>
      <c r="AU324" s="133"/>
      <c r="AV324" s="132" t="s">
        <v>1154</v>
      </c>
      <c r="AW324" s="133"/>
      <c r="AX324" s="134">
        <f>'Stavební rozpočet'!F325</f>
        <v>30</v>
      </c>
      <c r="AY324" s="135"/>
      <c r="AZ324" s="135"/>
      <c r="BA324" s="135"/>
      <c r="BB324" s="135"/>
      <c r="BC324" s="134">
        <f>'Stavební rozpočet'!G325</f>
        <v>0</v>
      </c>
      <c r="BD324" s="135"/>
      <c r="BE324" s="135"/>
      <c r="BF324" s="135"/>
      <c r="BG324" s="135"/>
      <c r="BH324" s="135"/>
      <c r="BI324" s="135"/>
      <c r="BJ324" s="135"/>
      <c r="BK324" s="134">
        <f t="shared" si="21"/>
        <v>0</v>
      </c>
      <c r="BL324" s="135"/>
      <c r="BM324" s="135"/>
      <c r="BN324" s="135"/>
      <c r="BO324" s="135"/>
      <c r="BP324" s="135"/>
      <c r="BQ324" s="135"/>
      <c r="BR324" s="135"/>
      <c r="BS324" s="132" t="s">
        <v>1177</v>
      </c>
      <c r="BT324" s="133"/>
      <c r="BU324" s="133"/>
      <c r="BV324" s="133"/>
      <c r="BW324" s="133"/>
      <c r="BX324" s="133"/>
      <c r="IR324" s="46">
        <f t="shared" si="22"/>
        <v>0</v>
      </c>
      <c r="IS324" s="46">
        <f t="shared" si="23"/>
        <v>0</v>
      </c>
    </row>
    <row r="325" spans="1:253" ht="12.75">
      <c r="A325" s="132" t="s">
        <v>270</v>
      </c>
      <c r="B325" s="133"/>
      <c r="C325" s="132"/>
      <c r="D325" s="133"/>
      <c r="E325" s="133"/>
      <c r="F325" s="132" t="s">
        <v>637</v>
      </c>
      <c r="G325" s="133"/>
      <c r="H325" s="133"/>
      <c r="I325" s="133"/>
      <c r="J325" s="133"/>
      <c r="K325" s="133"/>
      <c r="L325" s="132" t="s">
        <v>1029</v>
      </c>
      <c r="M325" s="133"/>
      <c r="N325" s="133"/>
      <c r="O325" s="133"/>
      <c r="P325" s="133"/>
      <c r="Q325" s="133"/>
      <c r="R325" s="133"/>
      <c r="S325" s="133"/>
      <c r="T325" s="133"/>
      <c r="U325" s="133"/>
      <c r="V325" s="133"/>
      <c r="W325" s="133"/>
      <c r="X325" s="133"/>
      <c r="Y325" s="133"/>
      <c r="Z325" s="133"/>
      <c r="AA325" s="133"/>
      <c r="AB325" s="133"/>
      <c r="AC325" s="133"/>
      <c r="AD325" s="133"/>
      <c r="AE325" s="133"/>
      <c r="AF325" s="133"/>
      <c r="AG325" s="133"/>
      <c r="AH325" s="133"/>
      <c r="AI325" s="133"/>
      <c r="AJ325" s="133"/>
      <c r="AK325" s="133"/>
      <c r="AL325" s="133"/>
      <c r="AM325" s="133"/>
      <c r="AN325" s="133"/>
      <c r="AO325" s="133"/>
      <c r="AP325" s="133"/>
      <c r="AQ325" s="133"/>
      <c r="AR325" s="133"/>
      <c r="AS325" s="133"/>
      <c r="AT325" s="133"/>
      <c r="AU325" s="133"/>
      <c r="AV325" s="132" t="s">
        <v>1154</v>
      </c>
      <c r="AW325" s="133"/>
      <c r="AX325" s="134">
        <f>'Stavební rozpočet'!F326</f>
        <v>30</v>
      </c>
      <c r="AY325" s="135"/>
      <c r="AZ325" s="135"/>
      <c r="BA325" s="135"/>
      <c r="BB325" s="135"/>
      <c r="BC325" s="134">
        <f>'Stavební rozpočet'!G326</f>
        <v>0</v>
      </c>
      <c r="BD325" s="135"/>
      <c r="BE325" s="135"/>
      <c r="BF325" s="135"/>
      <c r="BG325" s="135"/>
      <c r="BH325" s="135"/>
      <c r="BI325" s="135"/>
      <c r="BJ325" s="135"/>
      <c r="BK325" s="134">
        <f t="shared" si="21"/>
        <v>0</v>
      </c>
      <c r="BL325" s="135"/>
      <c r="BM325" s="135"/>
      <c r="BN325" s="135"/>
      <c r="BO325" s="135"/>
      <c r="BP325" s="135"/>
      <c r="BQ325" s="135"/>
      <c r="BR325" s="135"/>
      <c r="BS325" s="132" t="s">
        <v>1177</v>
      </c>
      <c r="BT325" s="133"/>
      <c r="BU325" s="133"/>
      <c r="BV325" s="133"/>
      <c r="BW325" s="133"/>
      <c r="BX325" s="133"/>
      <c r="IR325" s="46">
        <f t="shared" si="22"/>
        <v>0</v>
      </c>
      <c r="IS325" s="46">
        <f t="shared" si="23"/>
        <v>0</v>
      </c>
    </row>
    <row r="326" spans="1:253" ht="12.75">
      <c r="A326" s="132" t="s">
        <v>271</v>
      </c>
      <c r="B326" s="133"/>
      <c r="C326" s="132"/>
      <c r="D326" s="133"/>
      <c r="E326" s="133"/>
      <c r="F326" s="132" t="s">
        <v>638</v>
      </c>
      <c r="G326" s="133"/>
      <c r="H326" s="133"/>
      <c r="I326" s="133"/>
      <c r="J326" s="133"/>
      <c r="K326" s="133"/>
      <c r="L326" s="132" t="s">
        <v>1030</v>
      </c>
      <c r="M326" s="133"/>
      <c r="N326" s="133"/>
      <c r="O326" s="133"/>
      <c r="P326" s="133"/>
      <c r="Q326" s="133"/>
      <c r="R326" s="133"/>
      <c r="S326" s="133"/>
      <c r="T326" s="133"/>
      <c r="U326" s="133"/>
      <c r="V326" s="133"/>
      <c r="W326" s="133"/>
      <c r="X326" s="133"/>
      <c r="Y326" s="133"/>
      <c r="Z326" s="133"/>
      <c r="AA326" s="133"/>
      <c r="AB326" s="133"/>
      <c r="AC326" s="133"/>
      <c r="AD326" s="133"/>
      <c r="AE326" s="133"/>
      <c r="AF326" s="133"/>
      <c r="AG326" s="133"/>
      <c r="AH326" s="133"/>
      <c r="AI326" s="133"/>
      <c r="AJ326" s="133"/>
      <c r="AK326" s="133"/>
      <c r="AL326" s="133"/>
      <c r="AM326" s="133"/>
      <c r="AN326" s="133"/>
      <c r="AO326" s="133"/>
      <c r="AP326" s="133"/>
      <c r="AQ326" s="133"/>
      <c r="AR326" s="133"/>
      <c r="AS326" s="133"/>
      <c r="AT326" s="133"/>
      <c r="AU326" s="133"/>
      <c r="AV326" s="132" t="s">
        <v>1157</v>
      </c>
      <c r="AW326" s="133"/>
      <c r="AX326" s="134">
        <f>'Stavební rozpočet'!F327</f>
        <v>4</v>
      </c>
      <c r="AY326" s="135"/>
      <c r="AZ326" s="135"/>
      <c r="BA326" s="135"/>
      <c r="BB326" s="135"/>
      <c r="BC326" s="134">
        <f>'Stavební rozpočet'!G327</f>
        <v>0</v>
      </c>
      <c r="BD326" s="135"/>
      <c r="BE326" s="135"/>
      <c r="BF326" s="135"/>
      <c r="BG326" s="135"/>
      <c r="BH326" s="135"/>
      <c r="BI326" s="135"/>
      <c r="BJ326" s="135"/>
      <c r="BK326" s="134">
        <f t="shared" si="21"/>
        <v>0</v>
      </c>
      <c r="BL326" s="135"/>
      <c r="BM326" s="135"/>
      <c r="BN326" s="135"/>
      <c r="BO326" s="135"/>
      <c r="BP326" s="135"/>
      <c r="BQ326" s="135"/>
      <c r="BR326" s="135"/>
      <c r="BS326" s="132" t="s">
        <v>1177</v>
      </c>
      <c r="BT326" s="133"/>
      <c r="BU326" s="133"/>
      <c r="BV326" s="133"/>
      <c r="BW326" s="133"/>
      <c r="BX326" s="133"/>
      <c r="IR326" s="46">
        <f t="shared" si="22"/>
        <v>0</v>
      </c>
      <c r="IS326" s="46">
        <f t="shared" si="23"/>
        <v>0</v>
      </c>
    </row>
    <row r="327" spans="1:253" ht="12.75">
      <c r="A327" s="132" t="s">
        <v>272</v>
      </c>
      <c r="B327" s="133"/>
      <c r="C327" s="132"/>
      <c r="D327" s="133"/>
      <c r="E327" s="133"/>
      <c r="F327" s="132" t="s">
        <v>639</v>
      </c>
      <c r="G327" s="133"/>
      <c r="H327" s="133"/>
      <c r="I327" s="133"/>
      <c r="J327" s="133"/>
      <c r="K327" s="133"/>
      <c r="L327" s="132" t="s">
        <v>1031</v>
      </c>
      <c r="M327" s="133"/>
      <c r="N327" s="133"/>
      <c r="O327" s="133"/>
      <c r="P327" s="133"/>
      <c r="Q327" s="133"/>
      <c r="R327" s="133"/>
      <c r="S327" s="133"/>
      <c r="T327" s="133"/>
      <c r="U327" s="133"/>
      <c r="V327" s="133"/>
      <c r="W327" s="133"/>
      <c r="X327" s="133"/>
      <c r="Y327" s="133"/>
      <c r="Z327" s="133"/>
      <c r="AA327" s="133"/>
      <c r="AB327" s="133"/>
      <c r="AC327" s="133"/>
      <c r="AD327" s="133"/>
      <c r="AE327" s="133"/>
      <c r="AF327" s="133"/>
      <c r="AG327" s="133"/>
      <c r="AH327" s="133"/>
      <c r="AI327" s="133"/>
      <c r="AJ327" s="133"/>
      <c r="AK327" s="133"/>
      <c r="AL327" s="133"/>
      <c r="AM327" s="133"/>
      <c r="AN327" s="133"/>
      <c r="AO327" s="133"/>
      <c r="AP327" s="133"/>
      <c r="AQ327" s="133"/>
      <c r="AR327" s="133"/>
      <c r="AS327" s="133"/>
      <c r="AT327" s="133"/>
      <c r="AU327" s="133"/>
      <c r="AV327" s="132" t="s">
        <v>1157</v>
      </c>
      <c r="AW327" s="133"/>
      <c r="AX327" s="134">
        <f>'Stavební rozpočet'!F328</f>
        <v>4</v>
      </c>
      <c r="AY327" s="135"/>
      <c r="AZ327" s="135"/>
      <c r="BA327" s="135"/>
      <c r="BB327" s="135"/>
      <c r="BC327" s="134">
        <f>'Stavební rozpočet'!G328</f>
        <v>0</v>
      </c>
      <c r="BD327" s="135"/>
      <c r="BE327" s="135"/>
      <c r="BF327" s="135"/>
      <c r="BG327" s="135"/>
      <c r="BH327" s="135"/>
      <c r="BI327" s="135"/>
      <c r="BJ327" s="135"/>
      <c r="BK327" s="134">
        <f t="shared" si="21"/>
        <v>0</v>
      </c>
      <c r="BL327" s="135"/>
      <c r="BM327" s="135"/>
      <c r="BN327" s="135"/>
      <c r="BO327" s="135"/>
      <c r="BP327" s="135"/>
      <c r="BQ327" s="135"/>
      <c r="BR327" s="135"/>
      <c r="BS327" s="132" t="s">
        <v>1177</v>
      </c>
      <c r="BT327" s="133"/>
      <c r="BU327" s="133"/>
      <c r="BV327" s="133"/>
      <c r="BW327" s="133"/>
      <c r="BX327" s="133"/>
      <c r="IR327" s="46">
        <f t="shared" si="22"/>
        <v>0</v>
      </c>
      <c r="IS327" s="46">
        <f t="shared" si="23"/>
        <v>0</v>
      </c>
    </row>
    <row r="328" spans="1:253" ht="12.75">
      <c r="A328" s="132" t="s">
        <v>273</v>
      </c>
      <c r="B328" s="133"/>
      <c r="C328" s="132"/>
      <c r="D328" s="133"/>
      <c r="E328" s="133"/>
      <c r="F328" s="132" t="s">
        <v>640</v>
      </c>
      <c r="G328" s="133"/>
      <c r="H328" s="133"/>
      <c r="I328" s="133"/>
      <c r="J328" s="133"/>
      <c r="K328" s="133"/>
      <c r="L328" s="132" t="s">
        <v>1032</v>
      </c>
      <c r="M328" s="133"/>
      <c r="N328" s="133"/>
      <c r="O328" s="133"/>
      <c r="P328" s="133"/>
      <c r="Q328" s="133"/>
      <c r="R328" s="133"/>
      <c r="S328" s="133"/>
      <c r="T328" s="133"/>
      <c r="U328" s="133"/>
      <c r="V328" s="133"/>
      <c r="W328" s="133"/>
      <c r="X328" s="133"/>
      <c r="Y328" s="133"/>
      <c r="Z328" s="133"/>
      <c r="AA328" s="133"/>
      <c r="AB328" s="133"/>
      <c r="AC328" s="133"/>
      <c r="AD328" s="133"/>
      <c r="AE328" s="133"/>
      <c r="AF328" s="133"/>
      <c r="AG328" s="133"/>
      <c r="AH328" s="133"/>
      <c r="AI328" s="133"/>
      <c r="AJ328" s="133"/>
      <c r="AK328" s="133"/>
      <c r="AL328" s="133"/>
      <c r="AM328" s="133"/>
      <c r="AN328" s="133"/>
      <c r="AO328" s="133"/>
      <c r="AP328" s="133"/>
      <c r="AQ328" s="133"/>
      <c r="AR328" s="133"/>
      <c r="AS328" s="133"/>
      <c r="AT328" s="133"/>
      <c r="AU328" s="133"/>
      <c r="AV328" s="132" t="s">
        <v>1157</v>
      </c>
      <c r="AW328" s="133"/>
      <c r="AX328" s="134">
        <f>'Stavební rozpočet'!F329</f>
        <v>40</v>
      </c>
      <c r="AY328" s="135"/>
      <c r="AZ328" s="135"/>
      <c r="BA328" s="135"/>
      <c r="BB328" s="135"/>
      <c r="BC328" s="134">
        <f>'Stavební rozpočet'!G329</f>
        <v>0</v>
      </c>
      <c r="BD328" s="135"/>
      <c r="BE328" s="135"/>
      <c r="BF328" s="135"/>
      <c r="BG328" s="135"/>
      <c r="BH328" s="135"/>
      <c r="BI328" s="135"/>
      <c r="BJ328" s="135"/>
      <c r="BK328" s="134">
        <f t="shared" si="21"/>
        <v>0</v>
      </c>
      <c r="BL328" s="135"/>
      <c r="BM328" s="135"/>
      <c r="BN328" s="135"/>
      <c r="BO328" s="135"/>
      <c r="BP328" s="135"/>
      <c r="BQ328" s="135"/>
      <c r="BR328" s="135"/>
      <c r="BS328" s="132" t="s">
        <v>1177</v>
      </c>
      <c r="BT328" s="133"/>
      <c r="BU328" s="133"/>
      <c r="BV328" s="133"/>
      <c r="BW328" s="133"/>
      <c r="BX328" s="133"/>
      <c r="IR328" s="46">
        <f t="shared" si="22"/>
        <v>0</v>
      </c>
      <c r="IS328" s="46">
        <f t="shared" si="23"/>
        <v>0</v>
      </c>
    </row>
    <row r="329" spans="1:253" ht="12.75">
      <c r="A329" s="132" t="s">
        <v>274</v>
      </c>
      <c r="B329" s="133"/>
      <c r="C329" s="132"/>
      <c r="D329" s="133"/>
      <c r="E329" s="133"/>
      <c r="F329" s="132" t="s">
        <v>641</v>
      </c>
      <c r="G329" s="133"/>
      <c r="H329" s="133"/>
      <c r="I329" s="133"/>
      <c r="J329" s="133"/>
      <c r="K329" s="133"/>
      <c r="L329" s="132" t="s">
        <v>1032</v>
      </c>
      <c r="M329" s="133"/>
      <c r="N329" s="133"/>
      <c r="O329" s="133"/>
      <c r="P329" s="133"/>
      <c r="Q329" s="133"/>
      <c r="R329" s="133"/>
      <c r="S329" s="133"/>
      <c r="T329" s="133"/>
      <c r="U329" s="133"/>
      <c r="V329" s="133"/>
      <c r="W329" s="133"/>
      <c r="X329" s="133"/>
      <c r="Y329" s="133"/>
      <c r="Z329" s="133"/>
      <c r="AA329" s="133"/>
      <c r="AB329" s="133"/>
      <c r="AC329" s="133"/>
      <c r="AD329" s="133"/>
      <c r="AE329" s="133"/>
      <c r="AF329" s="133"/>
      <c r="AG329" s="133"/>
      <c r="AH329" s="133"/>
      <c r="AI329" s="133"/>
      <c r="AJ329" s="133"/>
      <c r="AK329" s="133"/>
      <c r="AL329" s="133"/>
      <c r="AM329" s="133"/>
      <c r="AN329" s="133"/>
      <c r="AO329" s="133"/>
      <c r="AP329" s="133"/>
      <c r="AQ329" s="133"/>
      <c r="AR329" s="133"/>
      <c r="AS329" s="133"/>
      <c r="AT329" s="133"/>
      <c r="AU329" s="133"/>
      <c r="AV329" s="132" t="s">
        <v>1157</v>
      </c>
      <c r="AW329" s="133"/>
      <c r="AX329" s="134">
        <f>'Stavební rozpočet'!F330</f>
        <v>40</v>
      </c>
      <c r="AY329" s="135"/>
      <c r="AZ329" s="135"/>
      <c r="BA329" s="135"/>
      <c r="BB329" s="135"/>
      <c r="BC329" s="134">
        <f>'Stavební rozpočet'!G330</f>
        <v>0</v>
      </c>
      <c r="BD329" s="135"/>
      <c r="BE329" s="135"/>
      <c r="BF329" s="135"/>
      <c r="BG329" s="135"/>
      <c r="BH329" s="135"/>
      <c r="BI329" s="135"/>
      <c r="BJ329" s="135"/>
      <c r="BK329" s="134">
        <f t="shared" si="21"/>
        <v>0</v>
      </c>
      <c r="BL329" s="135"/>
      <c r="BM329" s="135"/>
      <c r="BN329" s="135"/>
      <c r="BO329" s="135"/>
      <c r="BP329" s="135"/>
      <c r="BQ329" s="135"/>
      <c r="BR329" s="135"/>
      <c r="BS329" s="132" t="s">
        <v>1177</v>
      </c>
      <c r="BT329" s="133"/>
      <c r="BU329" s="133"/>
      <c r="BV329" s="133"/>
      <c r="BW329" s="133"/>
      <c r="BX329" s="133"/>
      <c r="IR329" s="46">
        <f t="shared" si="22"/>
        <v>0</v>
      </c>
      <c r="IS329" s="46">
        <f t="shared" si="23"/>
        <v>0</v>
      </c>
    </row>
    <row r="330" spans="1:253" ht="12.75">
      <c r="A330" s="132" t="s">
        <v>275</v>
      </c>
      <c r="B330" s="133"/>
      <c r="C330" s="132"/>
      <c r="D330" s="133"/>
      <c r="E330" s="133"/>
      <c r="F330" s="132" t="s">
        <v>642</v>
      </c>
      <c r="G330" s="133"/>
      <c r="H330" s="133"/>
      <c r="I330" s="133"/>
      <c r="J330" s="133"/>
      <c r="K330" s="133"/>
      <c r="L330" s="132" t="s">
        <v>1033</v>
      </c>
      <c r="M330" s="133"/>
      <c r="N330" s="133"/>
      <c r="O330" s="133"/>
      <c r="P330" s="133"/>
      <c r="Q330" s="133"/>
      <c r="R330" s="133"/>
      <c r="S330" s="133"/>
      <c r="T330" s="133"/>
      <c r="U330" s="133"/>
      <c r="V330" s="133"/>
      <c r="W330" s="133"/>
      <c r="X330" s="133"/>
      <c r="Y330" s="133"/>
      <c r="Z330" s="133"/>
      <c r="AA330" s="133"/>
      <c r="AB330" s="133"/>
      <c r="AC330" s="133"/>
      <c r="AD330" s="133"/>
      <c r="AE330" s="133"/>
      <c r="AF330" s="133"/>
      <c r="AG330" s="133"/>
      <c r="AH330" s="133"/>
      <c r="AI330" s="133"/>
      <c r="AJ330" s="133"/>
      <c r="AK330" s="133"/>
      <c r="AL330" s="133"/>
      <c r="AM330" s="133"/>
      <c r="AN330" s="133"/>
      <c r="AO330" s="133"/>
      <c r="AP330" s="133"/>
      <c r="AQ330" s="133"/>
      <c r="AR330" s="133"/>
      <c r="AS330" s="133"/>
      <c r="AT330" s="133"/>
      <c r="AU330" s="133"/>
      <c r="AV330" s="132" t="s">
        <v>1157</v>
      </c>
      <c r="AW330" s="133"/>
      <c r="AX330" s="134">
        <f>'Stavební rozpočet'!F331</f>
        <v>12</v>
      </c>
      <c r="AY330" s="135"/>
      <c r="AZ330" s="135"/>
      <c r="BA330" s="135"/>
      <c r="BB330" s="135"/>
      <c r="BC330" s="134">
        <f>'Stavební rozpočet'!G331</f>
        <v>0</v>
      </c>
      <c r="BD330" s="135"/>
      <c r="BE330" s="135"/>
      <c r="BF330" s="135"/>
      <c r="BG330" s="135"/>
      <c r="BH330" s="135"/>
      <c r="BI330" s="135"/>
      <c r="BJ330" s="135"/>
      <c r="BK330" s="134">
        <f t="shared" si="21"/>
        <v>0</v>
      </c>
      <c r="BL330" s="135"/>
      <c r="BM330" s="135"/>
      <c r="BN330" s="135"/>
      <c r="BO330" s="135"/>
      <c r="BP330" s="135"/>
      <c r="BQ330" s="135"/>
      <c r="BR330" s="135"/>
      <c r="BS330" s="132" t="s">
        <v>1177</v>
      </c>
      <c r="BT330" s="133"/>
      <c r="BU330" s="133"/>
      <c r="BV330" s="133"/>
      <c r="BW330" s="133"/>
      <c r="BX330" s="133"/>
      <c r="IR330" s="46">
        <f t="shared" si="22"/>
        <v>0</v>
      </c>
      <c r="IS330" s="46">
        <f t="shared" si="23"/>
        <v>0</v>
      </c>
    </row>
    <row r="331" spans="1:253" ht="12.75">
      <c r="A331" s="132" t="s">
        <v>276</v>
      </c>
      <c r="B331" s="133"/>
      <c r="C331" s="132"/>
      <c r="D331" s="133"/>
      <c r="E331" s="133"/>
      <c r="F331" s="132" t="s">
        <v>643</v>
      </c>
      <c r="G331" s="133"/>
      <c r="H331" s="133"/>
      <c r="I331" s="133"/>
      <c r="J331" s="133"/>
      <c r="K331" s="133"/>
      <c r="L331" s="132" t="s">
        <v>1033</v>
      </c>
      <c r="M331" s="133"/>
      <c r="N331" s="133"/>
      <c r="O331" s="133"/>
      <c r="P331" s="133"/>
      <c r="Q331" s="133"/>
      <c r="R331" s="133"/>
      <c r="S331" s="133"/>
      <c r="T331" s="133"/>
      <c r="U331" s="133"/>
      <c r="V331" s="133"/>
      <c r="W331" s="133"/>
      <c r="X331" s="133"/>
      <c r="Y331" s="133"/>
      <c r="Z331" s="133"/>
      <c r="AA331" s="133"/>
      <c r="AB331" s="133"/>
      <c r="AC331" s="133"/>
      <c r="AD331" s="133"/>
      <c r="AE331" s="133"/>
      <c r="AF331" s="133"/>
      <c r="AG331" s="133"/>
      <c r="AH331" s="133"/>
      <c r="AI331" s="133"/>
      <c r="AJ331" s="133"/>
      <c r="AK331" s="133"/>
      <c r="AL331" s="133"/>
      <c r="AM331" s="133"/>
      <c r="AN331" s="133"/>
      <c r="AO331" s="133"/>
      <c r="AP331" s="133"/>
      <c r="AQ331" s="133"/>
      <c r="AR331" s="133"/>
      <c r="AS331" s="133"/>
      <c r="AT331" s="133"/>
      <c r="AU331" s="133"/>
      <c r="AV331" s="132" t="s">
        <v>1157</v>
      </c>
      <c r="AW331" s="133"/>
      <c r="AX331" s="134">
        <f>'Stavební rozpočet'!F332</f>
        <v>12</v>
      </c>
      <c r="AY331" s="135"/>
      <c r="AZ331" s="135"/>
      <c r="BA331" s="135"/>
      <c r="BB331" s="135"/>
      <c r="BC331" s="134">
        <f>'Stavební rozpočet'!G332</f>
        <v>0</v>
      </c>
      <c r="BD331" s="135"/>
      <c r="BE331" s="135"/>
      <c r="BF331" s="135"/>
      <c r="BG331" s="135"/>
      <c r="BH331" s="135"/>
      <c r="BI331" s="135"/>
      <c r="BJ331" s="135"/>
      <c r="BK331" s="134">
        <f t="shared" si="21"/>
        <v>0</v>
      </c>
      <c r="BL331" s="135"/>
      <c r="BM331" s="135"/>
      <c r="BN331" s="135"/>
      <c r="BO331" s="135"/>
      <c r="BP331" s="135"/>
      <c r="BQ331" s="135"/>
      <c r="BR331" s="135"/>
      <c r="BS331" s="132" t="s">
        <v>1177</v>
      </c>
      <c r="BT331" s="133"/>
      <c r="BU331" s="133"/>
      <c r="BV331" s="133"/>
      <c r="BW331" s="133"/>
      <c r="BX331" s="133"/>
      <c r="IR331" s="46">
        <f t="shared" si="22"/>
        <v>0</v>
      </c>
      <c r="IS331" s="46">
        <f t="shared" si="23"/>
        <v>0</v>
      </c>
    </row>
    <row r="332" spans="1:253" ht="12.75">
      <c r="A332" s="132" t="s">
        <v>277</v>
      </c>
      <c r="B332" s="133"/>
      <c r="C332" s="132"/>
      <c r="D332" s="133"/>
      <c r="E332" s="133"/>
      <c r="F332" s="132" t="s">
        <v>644</v>
      </c>
      <c r="G332" s="133"/>
      <c r="H332" s="133"/>
      <c r="I332" s="133"/>
      <c r="J332" s="133"/>
      <c r="K332" s="133"/>
      <c r="L332" s="132" t="s">
        <v>1034</v>
      </c>
      <c r="M332" s="133"/>
      <c r="N332" s="133"/>
      <c r="O332" s="133"/>
      <c r="P332" s="133"/>
      <c r="Q332" s="133"/>
      <c r="R332" s="133"/>
      <c r="S332" s="133"/>
      <c r="T332" s="133"/>
      <c r="U332" s="133"/>
      <c r="V332" s="133"/>
      <c r="W332" s="133"/>
      <c r="X332" s="133"/>
      <c r="Y332" s="133"/>
      <c r="Z332" s="133"/>
      <c r="AA332" s="133"/>
      <c r="AB332" s="133"/>
      <c r="AC332" s="133"/>
      <c r="AD332" s="133"/>
      <c r="AE332" s="133"/>
      <c r="AF332" s="133"/>
      <c r="AG332" s="133"/>
      <c r="AH332" s="133"/>
      <c r="AI332" s="133"/>
      <c r="AJ332" s="133"/>
      <c r="AK332" s="133"/>
      <c r="AL332" s="133"/>
      <c r="AM332" s="133"/>
      <c r="AN332" s="133"/>
      <c r="AO332" s="133"/>
      <c r="AP332" s="133"/>
      <c r="AQ332" s="133"/>
      <c r="AR332" s="133"/>
      <c r="AS332" s="133"/>
      <c r="AT332" s="133"/>
      <c r="AU332" s="133"/>
      <c r="AV332" s="132" t="s">
        <v>1157</v>
      </c>
      <c r="AW332" s="133"/>
      <c r="AX332" s="134">
        <f>'Stavební rozpočet'!F333</f>
        <v>4</v>
      </c>
      <c r="AY332" s="135"/>
      <c r="AZ332" s="135"/>
      <c r="BA332" s="135"/>
      <c r="BB332" s="135"/>
      <c r="BC332" s="134">
        <f>'Stavební rozpočet'!G333</f>
        <v>0</v>
      </c>
      <c r="BD332" s="135"/>
      <c r="BE332" s="135"/>
      <c r="BF332" s="135"/>
      <c r="BG332" s="135"/>
      <c r="BH332" s="135"/>
      <c r="BI332" s="135"/>
      <c r="BJ332" s="135"/>
      <c r="BK332" s="134">
        <f t="shared" si="21"/>
        <v>0</v>
      </c>
      <c r="BL332" s="135"/>
      <c r="BM332" s="135"/>
      <c r="BN332" s="135"/>
      <c r="BO332" s="135"/>
      <c r="BP332" s="135"/>
      <c r="BQ332" s="135"/>
      <c r="BR332" s="135"/>
      <c r="BS332" s="132" t="s">
        <v>1177</v>
      </c>
      <c r="BT332" s="133"/>
      <c r="BU332" s="133"/>
      <c r="BV332" s="133"/>
      <c r="BW332" s="133"/>
      <c r="BX332" s="133"/>
      <c r="IR332" s="46">
        <f t="shared" si="22"/>
        <v>0</v>
      </c>
      <c r="IS332" s="46">
        <f t="shared" si="23"/>
        <v>0</v>
      </c>
    </row>
    <row r="333" spans="1:253" ht="12.75">
      <c r="A333" s="132" t="s">
        <v>278</v>
      </c>
      <c r="B333" s="133"/>
      <c r="C333" s="132"/>
      <c r="D333" s="133"/>
      <c r="E333" s="133"/>
      <c r="F333" s="132" t="s">
        <v>645</v>
      </c>
      <c r="G333" s="133"/>
      <c r="H333" s="133"/>
      <c r="I333" s="133"/>
      <c r="J333" s="133"/>
      <c r="K333" s="133"/>
      <c r="L333" s="132" t="s">
        <v>1035</v>
      </c>
      <c r="M333" s="133"/>
      <c r="N333" s="133"/>
      <c r="O333" s="133"/>
      <c r="P333" s="133"/>
      <c r="Q333" s="133"/>
      <c r="R333" s="133"/>
      <c r="S333" s="133"/>
      <c r="T333" s="133"/>
      <c r="U333" s="133"/>
      <c r="V333" s="133"/>
      <c r="W333" s="133"/>
      <c r="X333" s="133"/>
      <c r="Y333" s="133"/>
      <c r="Z333" s="133"/>
      <c r="AA333" s="133"/>
      <c r="AB333" s="133"/>
      <c r="AC333" s="133"/>
      <c r="AD333" s="133"/>
      <c r="AE333" s="133"/>
      <c r="AF333" s="133"/>
      <c r="AG333" s="133"/>
      <c r="AH333" s="133"/>
      <c r="AI333" s="133"/>
      <c r="AJ333" s="133"/>
      <c r="AK333" s="133"/>
      <c r="AL333" s="133"/>
      <c r="AM333" s="133"/>
      <c r="AN333" s="133"/>
      <c r="AO333" s="133"/>
      <c r="AP333" s="133"/>
      <c r="AQ333" s="133"/>
      <c r="AR333" s="133"/>
      <c r="AS333" s="133"/>
      <c r="AT333" s="133"/>
      <c r="AU333" s="133"/>
      <c r="AV333" s="132" t="s">
        <v>1157</v>
      </c>
      <c r="AW333" s="133"/>
      <c r="AX333" s="134">
        <f>'Stavební rozpočet'!F334</f>
        <v>4</v>
      </c>
      <c r="AY333" s="135"/>
      <c r="AZ333" s="135"/>
      <c r="BA333" s="135"/>
      <c r="BB333" s="135"/>
      <c r="BC333" s="134">
        <f>'Stavební rozpočet'!G334</f>
        <v>0</v>
      </c>
      <c r="BD333" s="135"/>
      <c r="BE333" s="135"/>
      <c r="BF333" s="135"/>
      <c r="BG333" s="135"/>
      <c r="BH333" s="135"/>
      <c r="BI333" s="135"/>
      <c r="BJ333" s="135"/>
      <c r="BK333" s="134">
        <f t="shared" si="21"/>
        <v>0</v>
      </c>
      <c r="BL333" s="135"/>
      <c r="BM333" s="135"/>
      <c r="BN333" s="135"/>
      <c r="BO333" s="135"/>
      <c r="BP333" s="135"/>
      <c r="BQ333" s="135"/>
      <c r="BR333" s="135"/>
      <c r="BS333" s="132" t="s">
        <v>1177</v>
      </c>
      <c r="BT333" s="133"/>
      <c r="BU333" s="133"/>
      <c r="BV333" s="133"/>
      <c r="BW333" s="133"/>
      <c r="BX333" s="133"/>
      <c r="IR333" s="46">
        <f t="shared" si="22"/>
        <v>0</v>
      </c>
      <c r="IS333" s="46">
        <f t="shared" si="23"/>
        <v>0</v>
      </c>
    </row>
    <row r="334" spans="1:253" ht="12.75">
      <c r="A334" s="132" t="s">
        <v>279</v>
      </c>
      <c r="B334" s="133"/>
      <c r="C334" s="132"/>
      <c r="D334" s="133"/>
      <c r="E334" s="133"/>
      <c r="F334" s="132" t="s">
        <v>646</v>
      </c>
      <c r="G334" s="133"/>
      <c r="H334" s="133"/>
      <c r="I334" s="133"/>
      <c r="J334" s="133"/>
      <c r="K334" s="133"/>
      <c r="L334" s="132" t="s">
        <v>1036</v>
      </c>
      <c r="M334" s="133"/>
      <c r="N334" s="133"/>
      <c r="O334" s="133"/>
      <c r="P334" s="133"/>
      <c r="Q334" s="133"/>
      <c r="R334" s="133"/>
      <c r="S334" s="133"/>
      <c r="T334" s="133"/>
      <c r="U334" s="133"/>
      <c r="V334" s="133"/>
      <c r="W334" s="133"/>
      <c r="X334" s="133"/>
      <c r="Y334" s="133"/>
      <c r="Z334" s="133"/>
      <c r="AA334" s="133"/>
      <c r="AB334" s="133"/>
      <c r="AC334" s="133"/>
      <c r="AD334" s="133"/>
      <c r="AE334" s="133"/>
      <c r="AF334" s="133"/>
      <c r="AG334" s="133"/>
      <c r="AH334" s="133"/>
      <c r="AI334" s="133"/>
      <c r="AJ334" s="133"/>
      <c r="AK334" s="133"/>
      <c r="AL334" s="133"/>
      <c r="AM334" s="133"/>
      <c r="AN334" s="133"/>
      <c r="AO334" s="133"/>
      <c r="AP334" s="133"/>
      <c r="AQ334" s="133"/>
      <c r="AR334" s="133"/>
      <c r="AS334" s="133"/>
      <c r="AT334" s="133"/>
      <c r="AU334" s="133"/>
      <c r="AV334" s="132" t="s">
        <v>1157</v>
      </c>
      <c r="AW334" s="133"/>
      <c r="AX334" s="134">
        <f>'Stavební rozpočet'!F335</f>
        <v>18</v>
      </c>
      <c r="AY334" s="135"/>
      <c r="AZ334" s="135"/>
      <c r="BA334" s="135"/>
      <c r="BB334" s="135"/>
      <c r="BC334" s="134">
        <f>'Stavební rozpočet'!G335</f>
        <v>0</v>
      </c>
      <c r="BD334" s="135"/>
      <c r="BE334" s="135"/>
      <c r="BF334" s="135"/>
      <c r="BG334" s="135"/>
      <c r="BH334" s="135"/>
      <c r="BI334" s="135"/>
      <c r="BJ334" s="135"/>
      <c r="BK334" s="134">
        <f t="shared" si="21"/>
        <v>0</v>
      </c>
      <c r="BL334" s="135"/>
      <c r="BM334" s="135"/>
      <c r="BN334" s="135"/>
      <c r="BO334" s="135"/>
      <c r="BP334" s="135"/>
      <c r="BQ334" s="135"/>
      <c r="BR334" s="135"/>
      <c r="BS334" s="132" t="s">
        <v>1177</v>
      </c>
      <c r="BT334" s="133"/>
      <c r="BU334" s="133"/>
      <c r="BV334" s="133"/>
      <c r="BW334" s="133"/>
      <c r="BX334" s="133"/>
      <c r="IR334" s="46">
        <f t="shared" si="22"/>
        <v>0</v>
      </c>
      <c r="IS334" s="46">
        <f t="shared" si="23"/>
        <v>0</v>
      </c>
    </row>
    <row r="335" spans="1:253" ht="12.75">
      <c r="A335" s="132" t="s">
        <v>280</v>
      </c>
      <c r="B335" s="133"/>
      <c r="C335" s="132"/>
      <c r="D335" s="133"/>
      <c r="E335" s="133"/>
      <c r="F335" s="132" t="s">
        <v>647</v>
      </c>
      <c r="G335" s="133"/>
      <c r="H335" s="133"/>
      <c r="I335" s="133"/>
      <c r="J335" s="133"/>
      <c r="K335" s="133"/>
      <c r="L335" s="132" t="s">
        <v>1036</v>
      </c>
      <c r="M335" s="133"/>
      <c r="N335" s="133"/>
      <c r="O335" s="133"/>
      <c r="P335" s="133"/>
      <c r="Q335" s="133"/>
      <c r="R335" s="133"/>
      <c r="S335" s="133"/>
      <c r="T335" s="133"/>
      <c r="U335" s="133"/>
      <c r="V335" s="133"/>
      <c r="W335" s="133"/>
      <c r="X335" s="133"/>
      <c r="Y335" s="133"/>
      <c r="Z335" s="133"/>
      <c r="AA335" s="133"/>
      <c r="AB335" s="133"/>
      <c r="AC335" s="133"/>
      <c r="AD335" s="133"/>
      <c r="AE335" s="133"/>
      <c r="AF335" s="133"/>
      <c r="AG335" s="133"/>
      <c r="AH335" s="133"/>
      <c r="AI335" s="133"/>
      <c r="AJ335" s="133"/>
      <c r="AK335" s="133"/>
      <c r="AL335" s="133"/>
      <c r="AM335" s="133"/>
      <c r="AN335" s="133"/>
      <c r="AO335" s="133"/>
      <c r="AP335" s="133"/>
      <c r="AQ335" s="133"/>
      <c r="AR335" s="133"/>
      <c r="AS335" s="133"/>
      <c r="AT335" s="133"/>
      <c r="AU335" s="133"/>
      <c r="AV335" s="132" t="s">
        <v>1157</v>
      </c>
      <c r="AW335" s="133"/>
      <c r="AX335" s="134">
        <f>'Stavební rozpočet'!F336</f>
        <v>18</v>
      </c>
      <c r="AY335" s="135"/>
      <c r="AZ335" s="135"/>
      <c r="BA335" s="135"/>
      <c r="BB335" s="135"/>
      <c r="BC335" s="134">
        <f>'Stavební rozpočet'!G336</f>
        <v>0</v>
      </c>
      <c r="BD335" s="135"/>
      <c r="BE335" s="135"/>
      <c r="BF335" s="135"/>
      <c r="BG335" s="135"/>
      <c r="BH335" s="135"/>
      <c r="BI335" s="135"/>
      <c r="BJ335" s="135"/>
      <c r="BK335" s="134">
        <f t="shared" si="21"/>
        <v>0</v>
      </c>
      <c r="BL335" s="135"/>
      <c r="BM335" s="135"/>
      <c r="BN335" s="135"/>
      <c r="BO335" s="135"/>
      <c r="BP335" s="135"/>
      <c r="BQ335" s="135"/>
      <c r="BR335" s="135"/>
      <c r="BS335" s="132" t="s">
        <v>1177</v>
      </c>
      <c r="BT335" s="133"/>
      <c r="BU335" s="133"/>
      <c r="BV335" s="133"/>
      <c r="BW335" s="133"/>
      <c r="BX335" s="133"/>
      <c r="IR335" s="46">
        <f t="shared" si="22"/>
        <v>0</v>
      </c>
      <c r="IS335" s="46">
        <f t="shared" si="23"/>
        <v>0</v>
      </c>
    </row>
    <row r="336" spans="1:253" ht="12.75">
      <c r="A336" s="132" t="s">
        <v>281</v>
      </c>
      <c r="B336" s="133"/>
      <c r="C336" s="132"/>
      <c r="D336" s="133"/>
      <c r="E336" s="133"/>
      <c r="F336" s="132" t="s">
        <v>619</v>
      </c>
      <c r="G336" s="133"/>
      <c r="H336" s="133"/>
      <c r="I336" s="133"/>
      <c r="J336" s="133"/>
      <c r="K336" s="133"/>
      <c r="L336" s="132" t="s">
        <v>1037</v>
      </c>
      <c r="M336" s="133"/>
      <c r="N336" s="133"/>
      <c r="O336" s="133"/>
      <c r="P336" s="133"/>
      <c r="Q336" s="133"/>
      <c r="R336" s="133"/>
      <c r="S336" s="133"/>
      <c r="T336" s="133"/>
      <c r="U336" s="133"/>
      <c r="V336" s="133"/>
      <c r="W336" s="133"/>
      <c r="X336" s="133"/>
      <c r="Y336" s="133"/>
      <c r="Z336" s="133"/>
      <c r="AA336" s="133"/>
      <c r="AB336" s="133"/>
      <c r="AC336" s="133"/>
      <c r="AD336" s="133"/>
      <c r="AE336" s="133"/>
      <c r="AF336" s="133"/>
      <c r="AG336" s="133"/>
      <c r="AH336" s="133"/>
      <c r="AI336" s="133"/>
      <c r="AJ336" s="133"/>
      <c r="AK336" s="133"/>
      <c r="AL336" s="133"/>
      <c r="AM336" s="133"/>
      <c r="AN336" s="133"/>
      <c r="AO336" s="133"/>
      <c r="AP336" s="133"/>
      <c r="AQ336" s="133"/>
      <c r="AR336" s="133"/>
      <c r="AS336" s="133"/>
      <c r="AT336" s="133"/>
      <c r="AU336" s="133"/>
      <c r="AV336" s="132" t="s">
        <v>1157</v>
      </c>
      <c r="AW336" s="133"/>
      <c r="AX336" s="134">
        <f>'Stavební rozpočet'!F337</f>
        <v>4</v>
      </c>
      <c r="AY336" s="135"/>
      <c r="AZ336" s="135"/>
      <c r="BA336" s="135"/>
      <c r="BB336" s="135"/>
      <c r="BC336" s="134">
        <f>'Stavební rozpočet'!G337</f>
        <v>0</v>
      </c>
      <c r="BD336" s="135"/>
      <c r="BE336" s="135"/>
      <c r="BF336" s="135"/>
      <c r="BG336" s="135"/>
      <c r="BH336" s="135"/>
      <c r="BI336" s="135"/>
      <c r="BJ336" s="135"/>
      <c r="BK336" s="134">
        <f t="shared" si="21"/>
        <v>0</v>
      </c>
      <c r="BL336" s="135"/>
      <c r="BM336" s="135"/>
      <c r="BN336" s="135"/>
      <c r="BO336" s="135"/>
      <c r="BP336" s="135"/>
      <c r="BQ336" s="135"/>
      <c r="BR336" s="135"/>
      <c r="BS336" s="132" t="s">
        <v>1177</v>
      </c>
      <c r="BT336" s="133"/>
      <c r="BU336" s="133"/>
      <c r="BV336" s="133"/>
      <c r="BW336" s="133"/>
      <c r="BX336" s="133"/>
      <c r="IR336" s="46">
        <f t="shared" si="22"/>
        <v>0</v>
      </c>
      <c r="IS336" s="46">
        <f t="shared" si="23"/>
        <v>0</v>
      </c>
    </row>
    <row r="337" spans="1:253" ht="12.75">
      <c r="A337" s="132" t="s">
        <v>282</v>
      </c>
      <c r="B337" s="133"/>
      <c r="C337" s="132"/>
      <c r="D337" s="133"/>
      <c r="E337" s="133"/>
      <c r="F337" s="132" t="s">
        <v>620</v>
      </c>
      <c r="G337" s="133"/>
      <c r="H337" s="133"/>
      <c r="I337" s="133"/>
      <c r="J337" s="133"/>
      <c r="K337" s="133"/>
      <c r="L337" s="132" t="s">
        <v>1037</v>
      </c>
      <c r="M337" s="133"/>
      <c r="N337" s="133"/>
      <c r="O337" s="133"/>
      <c r="P337" s="133"/>
      <c r="Q337" s="133"/>
      <c r="R337" s="133"/>
      <c r="S337" s="133"/>
      <c r="T337" s="133"/>
      <c r="U337" s="133"/>
      <c r="V337" s="133"/>
      <c r="W337" s="133"/>
      <c r="X337" s="133"/>
      <c r="Y337" s="133"/>
      <c r="Z337" s="133"/>
      <c r="AA337" s="133"/>
      <c r="AB337" s="133"/>
      <c r="AC337" s="133"/>
      <c r="AD337" s="133"/>
      <c r="AE337" s="133"/>
      <c r="AF337" s="133"/>
      <c r="AG337" s="133"/>
      <c r="AH337" s="133"/>
      <c r="AI337" s="133"/>
      <c r="AJ337" s="133"/>
      <c r="AK337" s="133"/>
      <c r="AL337" s="133"/>
      <c r="AM337" s="133"/>
      <c r="AN337" s="133"/>
      <c r="AO337" s="133"/>
      <c r="AP337" s="133"/>
      <c r="AQ337" s="133"/>
      <c r="AR337" s="133"/>
      <c r="AS337" s="133"/>
      <c r="AT337" s="133"/>
      <c r="AU337" s="133"/>
      <c r="AV337" s="132" t="s">
        <v>1157</v>
      </c>
      <c r="AW337" s="133"/>
      <c r="AX337" s="134">
        <f>'Stavební rozpočet'!F338</f>
        <v>4</v>
      </c>
      <c r="AY337" s="135"/>
      <c r="AZ337" s="135"/>
      <c r="BA337" s="135"/>
      <c r="BB337" s="135"/>
      <c r="BC337" s="134">
        <f>'Stavební rozpočet'!G338</f>
        <v>0</v>
      </c>
      <c r="BD337" s="135"/>
      <c r="BE337" s="135"/>
      <c r="BF337" s="135"/>
      <c r="BG337" s="135"/>
      <c r="BH337" s="135"/>
      <c r="BI337" s="135"/>
      <c r="BJ337" s="135"/>
      <c r="BK337" s="134">
        <f t="shared" si="21"/>
        <v>0</v>
      </c>
      <c r="BL337" s="135"/>
      <c r="BM337" s="135"/>
      <c r="BN337" s="135"/>
      <c r="BO337" s="135"/>
      <c r="BP337" s="135"/>
      <c r="BQ337" s="135"/>
      <c r="BR337" s="135"/>
      <c r="BS337" s="132" t="s">
        <v>1177</v>
      </c>
      <c r="BT337" s="133"/>
      <c r="BU337" s="133"/>
      <c r="BV337" s="133"/>
      <c r="BW337" s="133"/>
      <c r="BX337" s="133"/>
      <c r="IR337" s="46">
        <f t="shared" si="22"/>
        <v>0</v>
      </c>
      <c r="IS337" s="46">
        <f t="shared" si="23"/>
        <v>0</v>
      </c>
    </row>
    <row r="338" spans="1:253" ht="12.75">
      <c r="A338" s="132" t="s">
        <v>283</v>
      </c>
      <c r="B338" s="133"/>
      <c r="C338" s="132"/>
      <c r="D338" s="133"/>
      <c r="E338" s="133"/>
      <c r="F338" s="132" t="s">
        <v>648</v>
      </c>
      <c r="G338" s="133"/>
      <c r="H338" s="133"/>
      <c r="I338" s="133"/>
      <c r="J338" s="133"/>
      <c r="K338" s="133"/>
      <c r="L338" s="132" t="s">
        <v>1038</v>
      </c>
      <c r="M338" s="133"/>
      <c r="N338" s="133"/>
      <c r="O338" s="133"/>
      <c r="P338" s="133"/>
      <c r="Q338" s="133"/>
      <c r="R338" s="133"/>
      <c r="S338" s="133"/>
      <c r="T338" s="133"/>
      <c r="U338" s="133"/>
      <c r="V338" s="133"/>
      <c r="W338" s="133"/>
      <c r="X338" s="133"/>
      <c r="Y338" s="133"/>
      <c r="Z338" s="133"/>
      <c r="AA338" s="133"/>
      <c r="AB338" s="133"/>
      <c r="AC338" s="133"/>
      <c r="AD338" s="133"/>
      <c r="AE338" s="133"/>
      <c r="AF338" s="133"/>
      <c r="AG338" s="133"/>
      <c r="AH338" s="133"/>
      <c r="AI338" s="133"/>
      <c r="AJ338" s="133"/>
      <c r="AK338" s="133"/>
      <c r="AL338" s="133"/>
      <c r="AM338" s="133"/>
      <c r="AN338" s="133"/>
      <c r="AO338" s="133"/>
      <c r="AP338" s="133"/>
      <c r="AQ338" s="133"/>
      <c r="AR338" s="133"/>
      <c r="AS338" s="133"/>
      <c r="AT338" s="133"/>
      <c r="AU338" s="133"/>
      <c r="AV338" s="132" t="s">
        <v>1157</v>
      </c>
      <c r="AW338" s="133"/>
      <c r="AX338" s="134">
        <f>'Stavební rozpočet'!F339</f>
        <v>10</v>
      </c>
      <c r="AY338" s="135"/>
      <c r="AZ338" s="135"/>
      <c r="BA338" s="135"/>
      <c r="BB338" s="135"/>
      <c r="BC338" s="134">
        <f>'Stavební rozpočet'!G339</f>
        <v>0</v>
      </c>
      <c r="BD338" s="135"/>
      <c r="BE338" s="135"/>
      <c r="BF338" s="135"/>
      <c r="BG338" s="135"/>
      <c r="BH338" s="135"/>
      <c r="BI338" s="135"/>
      <c r="BJ338" s="135"/>
      <c r="BK338" s="134">
        <f t="shared" si="21"/>
        <v>0</v>
      </c>
      <c r="BL338" s="135"/>
      <c r="BM338" s="135"/>
      <c r="BN338" s="135"/>
      <c r="BO338" s="135"/>
      <c r="BP338" s="135"/>
      <c r="BQ338" s="135"/>
      <c r="BR338" s="135"/>
      <c r="BS338" s="132" t="s">
        <v>1177</v>
      </c>
      <c r="BT338" s="133"/>
      <c r="BU338" s="133"/>
      <c r="BV338" s="133"/>
      <c r="BW338" s="133"/>
      <c r="BX338" s="133"/>
      <c r="IR338" s="46">
        <f t="shared" si="22"/>
        <v>0</v>
      </c>
      <c r="IS338" s="46">
        <f t="shared" si="23"/>
        <v>0</v>
      </c>
    </row>
    <row r="339" spans="1:253" ht="12.75">
      <c r="A339" s="132" t="s">
        <v>284</v>
      </c>
      <c r="B339" s="133"/>
      <c r="C339" s="132"/>
      <c r="D339" s="133"/>
      <c r="E339" s="133"/>
      <c r="F339" s="132" t="s">
        <v>647</v>
      </c>
      <c r="G339" s="133"/>
      <c r="H339" s="133"/>
      <c r="I339" s="133"/>
      <c r="J339" s="133"/>
      <c r="K339" s="133"/>
      <c r="L339" s="132" t="s">
        <v>1039</v>
      </c>
      <c r="M339" s="133"/>
      <c r="N339" s="133"/>
      <c r="O339" s="133"/>
      <c r="P339" s="133"/>
      <c r="Q339" s="133"/>
      <c r="R339" s="133"/>
      <c r="S339" s="133"/>
      <c r="T339" s="133"/>
      <c r="U339" s="133"/>
      <c r="V339" s="133"/>
      <c r="W339" s="133"/>
      <c r="X339" s="133"/>
      <c r="Y339" s="133"/>
      <c r="Z339" s="133"/>
      <c r="AA339" s="133"/>
      <c r="AB339" s="133"/>
      <c r="AC339" s="133"/>
      <c r="AD339" s="133"/>
      <c r="AE339" s="133"/>
      <c r="AF339" s="133"/>
      <c r="AG339" s="133"/>
      <c r="AH339" s="133"/>
      <c r="AI339" s="133"/>
      <c r="AJ339" s="133"/>
      <c r="AK339" s="133"/>
      <c r="AL339" s="133"/>
      <c r="AM339" s="133"/>
      <c r="AN339" s="133"/>
      <c r="AO339" s="133"/>
      <c r="AP339" s="133"/>
      <c r="AQ339" s="133"/>
      <c r="AR339" s="133"/>
      <c r="AS339" s="133"/>
      <c r="AT339" s="133"/>
      <c r="AU339" s="133"/>
      <c r="AV339" s="132" t="s">
        <v>1157</v>
      </c>
      <c r="AW339" s="133"/>
      <c r="AX339" s="134">
        <f>'Stavební rozpočet'!F340</f>
        <v>10</v>
      </c>
      <c r="AY339" s="135"/>
      <c r="AZ339" s="135"/>
      <c r="BA339" s="135"/>
      <c r="BB339" s="135"/>
      <c r="BC339" s="134">
        <f>'Stavební rozpočet'!G340</f>
        <v>0</v>
      </c>
      <c r="BD339" s="135"/>
      <c r="BE339" s="135"/>
      <c r="BF339" s="135"/>
      <c r="BG339" s="135"/>
      <c r="BH339" s="135"/>
      <c r="BI339" s="135"/>
      <c r="BJ339" s="135"/>
      <c r="BK339" s="134">
        <f t="shared" si="21"/>
        <v>0</v>
      </c>
      <c r="BL339" s="135"/>
      <c r="BM339" s="135"/>
      <c r="BN339" s="135"/>
      <c r="BO339" s="135"/>
      <c r="BP339" s="135"/>
      <c r="BQ339" s="135"/>
      <c r="BR339" s="135"/>
      <c r="BS339" s="132" t="s">
        <v>1177</v>
      </c>
      <c r="BT339" s="133"/>
      <c r="BU339" s="133"/>
      <c r="BV339" s="133"/>
      <c r="BW339" s="133"/>
      <c r="BX339" s="133"/>
      <c r="IR339" s="46">
        <f t="shared" si="22"/>
        <v>0</v>
      </c>
      <c r="IS339" s="46">
        <f t="shared" si="23"/>
        <v>0</v>
      </c>
    </row>
    <row r="340" spans="1:253" ht="12.75">
      <c r="A340" s="132" t="s">
        <v>285</v>
      </c>
      <c r="B340" s="133"/>
      <c r="C340" s="132"/>
      <c r="D340" s="133"/>
      <c r="E340" s="133"/>
      <c r="F340" s="132" t="s">
        <v>619</v>
      </c>
      <c r="G340" s="133"/>
      <c r="H340" s="133"/>
      <c r="I340" s="133"/>
      <c r="J340" s="133"/>
      <c r="K340" s="133"/>
      <c r="L340" s="132" t="s">
        <v>1012</v>
      </c>
      <c r="M340" s="133"/>
      <c r="N340" s="133"/>
      <c r="O340" s="133"/>
      <c r="P340" s="133"/>
      <c r="Q340" s="133"/>
      <c r="R340" s="133"/>
      <c r="S340" s="133"/>
      <c r="T340" s="133"/>
      <c r="U340" s="133"/>
      <c r="V340" s="133"/>
      <c r="W340" s="133"/>
      <c r="X340" s="133"/>
      <c r="Y340" s="133"/>
      <c r="Z340" s="133"/>
      <c r="AA340" s="133"/>
      <c r="AB340" s="133"/>
      <c r="AC340" s="133"/>
      <c r="AD340" s="133"/>
      <c r="AE340" s="133"/>
      <c r="AF340" s="133"/>
      <c r="AG340" s="133"/>
      <c r="AH340" s="133"/>
      <c r="AI340" s="133"/>
      <c r="AJ340" s="133"/>
      <c r="AK340" s="133"/>
      <c r="AL340" s="133"/>
      <c r="AM340" s="133"/>
      <c r="AN340" s="133"/>
      <c r="AO340" s="133"/>
      <c r="AP340" s="133"/>
      <c r="AQ340" s="133"/>
      <c r="AR340" s="133"/>
      <c r="AS340" s="133"/>
      <c r="AT340" s="133"/>
      <c r="AU340" s="133"/>
      <c r="AV340" s="132" t="s">
        <v>1157</v>
      </c>
      <c r="AW340" s="133"/>
      <c r="AX340" s="134">
        <f>'Stavební rozpočet'!F341</f>
        <v>8</v>
      </c>
      <c r="AY340" s="135"/>
      <c r="AZ340" s="135"/>
      <c r="BA340" s="135"/>
      <c r="BB340" s="135"/>
      <c r="BC340" s="134">
        <f>'Stavební rozpočet'!G341</f>
        <v>0</v>
      </c>
      <c r="BD340" s="135"/>
      <c r="BE340" s="135"/>
      <c r="BF340" s="135"/>
      <c r="BG340" s="135"/>
      <c r="BH340" s="135"/>
      <c r="BI340" s="135"/>
      <c r="BJ340" s="135"/>
      <c r="BK340" s="134">
        <f t="shared" si="21"/>
        <v>0</v>
      </c>
      <c r="BL340" s="135"/>
      <c r="BM340" s="135"/>
      <c r="BN340" s="135"/>
      <c r="BO340" s="135"/>
      <c r="BP340" s="135"/>
      <c r="BQ340" s="135"/>
      <c r="BR340" s="135"/>
      <c r="BS340" s="132" t="s">
        <v>1177</v>
      </c>
      <c r="BT340" s="133"/>
      <c r="BU340" s="133"/>
      <c r="BV340" s="133"/>
      <c r="BW340" s="133"/>
      <c r="BX340" s="133"/>
      <c r="IR340" s="46">
        <f t="shared" si="22"/>
        <v>0</v>
      </c>
      <c r="IS340" s="46">
        <f t="shared" si="23"/>
        <v>0</v>
      </c>
    </row>
    <row r="341" spans="1:253" ht="12.75">
      <c r="A341" s="132" t="s">
        <v>286</v>
      </c>
      <c r="B341" s="133"/>
      <c r="C341" s="132"/>
      <c r="D341" s="133"/>
      <c r="E341" s="133"/>
      <c r="F341" s="132" t="s">
        <v>620</v>
      </c>
      <c r="G341" s="133"/>
      <c r="H341" s="133"/>
      <c r="I341" s="133"/>
      <c r="J341" s="133"/>
      <c r="K341" s="133"/>
      <c r="L341" s="132" t="s">
        <v>1012</v>
      </c>
      <c r="M341" s="133"/>
      <c r="N341" s="133"/>
      <c r="O341" s="133"/>
      <c r="P341" s="133"/>
      <c r="Q341" s="133"/>
      <c r="R341" s="133"/>
      <c r="S341" s="133"/>
      <c r="T341" s="133"/>
      <c r="U341" s="133"/>
      <c r="V341" s="133"/>
      <c r="W341" s="133"/>
      <c r="X341" s="133"/>
      <c r="Y341" s="133"/>
      <c r="Z341" s="133"/>
      <c r="AA341" s="133"/>
      <c r="AB341" s="133"/>
      <c r="AC341" s="133"/>
      <c r="AD341" s="133"/>
      <c r="AE341" s="133"/>
      <c r="AF341" s="133"/>
      <c r="AG341" s="133"/>
      <c r="AH341" s="133"/>
      <c r="AI341" s="133"/>
      <c r="AJ341" s="133"/>
      <c r="AK341" s="133"/>
      <c r="AL341" s="133"/>
      <c r="AM341" s="133"/>
      <c r="AN341" s="133"/>
      <c r="AO341" s="133"/>
      <c r="AP341" s="133"/>
      <c r="AQ341" s="133"/>
      <c r="AR341" s="133"/>
      <c r="AS341" s="133"/>
      <c r="AT341" s="133"/>
      <c r="AU341" s="133"/>
      <c r="AV341" s="132" t="s">
        <v>1157</v>
      </c>
      <c r="AW341" s="133"/>
      <c r="AX341" s="134">
        <f>'Stavební rozpočet'!F342</f>
        <v>8</v>
      </c>
      <c r="AY341" s="135"/>
      <c r="AZ341" s="135"/>
      <c r="BA341" s="135"/>
      <c r="BB341" s="135"/>
      <c r="BC341" s="134">
        <f>'Stavební rozpočet'!G342</f>
        <v>0</v>
      </c>
      <c r="BD341" s="135"/>
      <c r="BE341" s="135"/>
      <c r="BF341" s="135"/>
      <c r="BG341" s="135"/>
      <c r="BH341" s="135"/>
      <c r="BI341" s="135"/>
      <c r="BJ341" s="135"/>
      <c r="BK341" s="134">
        <f t="shared" si="21"/>
        <v>0</v>
      </c>
      <c r="BL341" s="135"/>
      <c r="BM341" s="135"/>
      <c r="BN341" s="135"/>
      <c r="BO341" s="135"/>
      <c r="BP341" s="135"/>
      <c r="BQ341" s="135"/>
      <c r="BR341" s="135"/>
      <c r="BS341" s="132" t="s">
        <v>1177</v>
      </c>
      <c r="BT341" s="133"/>
      <c r="BU341" s="133"/>
      <c r="BV341" s="133"/>
      <c r="BW341" s="133"/>
      <c r="BX341" s="133"/>
      <c r="IR341" s="46">
        <f t="shared" si="22"/>
        <v>0</v>
      </c>
      <c r="IS341" s="46">
        <f t="shared" si="23"/>
        <v>0</v>
      </c>
    </row>
    <row r="342" spans="1:253" ht="12.75">
      <c r="A342" s="132" t="s">
        <v>287</v>
      </c>
      <c r="B342" s="133"/>
      <c r="C342" s="132"/>
      <c r="D342" s="133"/>
      <c r="E342" s="133"/>
      <c r="F342" s="132" t="s">
        <v>649</v>
      </c>
      <c r="G342" s="133"/>
      <c r="H342" s="133"/>
      <c r="I342" s="133"/>
      <c r="J342" s="133"/>
      <c r="K342" s="133"/>
      <c r="L342" s="132" t="s">
        <v>1040</v>
      </c>
      <c r="M342" s="133"/>
      <c r="N342" s="133"/>
      <c r="O342" s="133"/>
      <c r="P342" s="133"/>
      <c r="Q342" s="133"/>
      <c r="R342" s="133"/>
      <c r="S342" s="133"/>
      <c r="T342" s="133"/>
      <c r="U342" s="133"/>
      <c r="V342" s="133"/>
      <c r="W342" s="133"/>
      <c r="X342" s="133"/>
      <c r="Y342" s="133"/>
      <c r="Z342" s="133"/>
      <c r="AA342" s="133"/>
      <c r="AB342" s="133"/>
      <c r="AC342" s="133"/>
      <c r="AD342" s="133"/>
      <c r="AE342" s="133"/>
      <c r="AF342" s="133"/>
      <c r="AG342" s="133"/>
      <c r="AH342" s="133"/>
      <c r="AI342" s="133"/>
      <c r="AJ342" s="133"/>
      <c r="AK342" s="133"/>
      <c r="AL342" s="133"/>
      <c r="AM342" s="133"/>
      <c r="AN342" s="133"/>
      <c r="AO342" s="133"/>
      <c r="AP342" s="133"/>
      <c r="AQ342" s="133"/>
      <c r="AR342" s="133"/>
      <c r="AS342" s="133"/>
      <c r="AT342" s="133"/>
      <c r="AU342" s="133"/>
      <c r="AV342" s="132" t="s">
        <v>1157</v>
      </c>
      <c r="AW342" s="133"/>
      <c r="AX342" s="134">
        <f>'Stavební rozpočet'!F343</f>
        <v>12</v>
      </c>
      <c r="AY342" s="135"/>
      <c r="AZ342" s="135"/>
      <c r="BA342" s="135"/>
      <c r="BB342" s="135"/>
      <c r="BC342" s="134">
        <f>'Stavební rozpočet'!G343</f>
        <v>0</v>
      </c>
      <c r="BD342" s="135"/>
      <c r="BE342" s="135"/>
      <c r="BF342" s="135"/>
      <c r="BG342" s="135"/>
      <c r="BH342" s="135"/>
      <c r="BI342" s="135"/>
      <c r="BJ342" s="135"/>
      <c r="BK342" s="134">
        <f t="shared" si="21"/>
        <v>0</v>
      </c>
      <c r="BL342" s="135"/>
      <c r="BM342" s="135"/>
      <c r="BN342" s="135"/>
      <c r="BO342" s="135"/>
      <c r="BP342" s="135"/>
      <c r="BQ342" s="135"/>
      <c r="BR342" s="135"/>
      <c r="BS342" s="132" t="s">
        <v>1177</v>
      </c>
      <c r="BT342" s="133"/>
      <c r="BU342" s="133"/>
      <c r="BV342" s="133"/>
      <c r="BW342" s="133"/>
      <c r="BX342" s="133"/>
      <c r="IR342" s="46">
        <f t="shared" si="22"/>
        <v>0</v>
      </c>
      <c r="IS342" s="46">
        <f t="shared" si="23"/>
        <v>0</v>
      </c>
    </row>
    <row r="343" spans="1:253" ht="12.75">
      <c r="A343" s="132" t="s">
        <v>288</v>
      </c>
      <c r="B343" s="133"/>
      <c r="C343" s="132"/>
      <c r="D343" s="133"/>
      <c r="E343" s="133"/>
      <c r="F343" s="132" t="s">
        <v>650</v>
      </c>
      <c r="G343" s="133"/>
      <c r="H343" s="133"/>
      <c r="I343" s="133"/>
      <c r="J343" s="133"/>
      <c r="K343" s="133"/>
      <c r="L343" s="132" t="s">
        <v>1041</v>
      </c>
      <c r="M343" s="133"/>
      <c r="N343" s="133"/>
      <c r="O343" s="133"/>
      <c r="P343" s="133"/>
      <c r="Q343" s="133"/>
      <c r="R343" s="133"/>
      <c r="S343" s="133"/>
      <c r="T343" s="133"/>
      <c r="U343" s="133"/>
      <c r="V343" s="133"/>
      <c r="W343" s="133"/>
      <c r="X343" s="133"/>
      <c r="Y343" s="133"/>
      <c r="Z343" s="133"/>
      <c r="AA343" s="133"/>
      <c r="AB343" s="133"/>
      <c r="AC343" s="133"/>
      <c r="AD343" s="133"/>
      <c r="AE343" s="133"/>
      <c r="AF343" s="133"/>
      <c r="AG343" s="133"/>
      <c r="AH343" s="133"/>
      <c r="AI343" s="133"/>
      <c r="AJ343" s="133"/>
      <c r="AK343" s="133"/>
      <c r="AL343" s="133"/>
      <c r="AM343" s="133"/>
      <c r="AN343" s="133"/>
      <c r="AO343" s="133"/>
      <c r="AP343" s="133"/>
      <c r="AQ343" s="133"/>
      <c r="AR343" s="133"/>
      <c r="AS343" s="133"/>
      <c r="AT343" s="133"/>
      <c r="AU343" s="133"/>
      <c r="AV343" s="132" t="s">
        <v>1157</v>
      </c>
      <c r="AW343" s="133"/>
      <c r="AX343" s="134">
        <f>'Stavební rozpočet'!F344</f>
        <v>12</v>
      </c>
      <c r="AY343" s="135"/>
      <c r="AZ343" s="135"/>
      <c r="BA343" s="135"/>
      <c r="BB343" s="135"/>
      <c r="BC343" s="134">
        <f>'Stavební rozpočet'!G344</f>
        <v>0</v>
      </c>
      <c r="BD343" s="135"/>
      <c r="BE343" s="135"/>
      <c r="BF343" s="135"/>
      <c r="BG343" s="135"/>
      <c r="BH343" s="135"/>
      <c r="BI343" s="135"/>
      <c r="BJ343" s="135"/>
      <c r="BK343" s="134">
        <f t="shared" si="21"/>
        <v>0</v>
      </c>
      <c r="BL343" s="135"/>
      <c r="BM343" s="135"/>
      <c r="BN343" s="135"/>
      <c r="BO343" s="135"/>
      <c r="BP343" s="135"/>
      <c r="BQ343" s="135"/>
      <c r="BR343" s="135"/>
      <c r="BS343" s="132" t="s">
        <v>1177</v>
      </c>
      <c r="BT343" s="133"/>
      <c r="BU343" s="133"/>
      <c r="BV343" s="133"/>
      <c r="BW343" s="133"/>
      <c r="BX343" s="133"/>
      <c r="IR343" s="46">
        <f t="shared" si="22"/>
        <v>0</v>
      </c>
      <c r="IS343" s="46">
        <f t="shared" si="23"/>
        <v>0</v>
      </c>
    </row>
    <row r="344" spans="1:253" ht="12.75">
      <c r="A344" s="132" t="s">
        <v>289</v>
      </c>
      <c r="B344" s="133"/>
      <c r="C344" s="132"/>
      <c r="D344" s="133"/>
      <c r="E344" s="133"/>
      <c r="F344" s="132" t="s">
        <v>621</v>
      </c>
      <c r="G344" s="133"/>
      <c r="H344" s="133"/>
      <c r="I344" s="133"/>
      <c r="J344" s="133"/>
      <c r="K344" s="133"/>
      <c r="L344" s="132" t="s">
        <v>1013</v>
      </c>
      <c r="M344" s="133"/>
      <c r="N344" s="133"/>
      <c r="O344" s="133"/>
      <c r="P344" s="133"/>
      <c r="Q344" s="133"/>
      <c r="R344" s="133"/>
      <c r="S344" s="133"/>
      <c r="T344" s="133"/>
      <c r="U344" s="133"/>
      <c r="V344" s="133"/>
      <c r="W344" s="133"/>
      <c r="X344" s="133"/>
      <c r="Y344" s="133"/>
      <c r="Z344" s="133"/>
      <c r="AA344" s="133"/>
      <c r="AB344" s="133"/>
      <c r="AC344" s="133"/>
      <c r="AD344" s="133"/>
      <c r="AE344" s="133"/>
      <c r="AF344" s="133"/>
      <c r="AG344" s="133"/>
      <c r="AH344" s="133"/>
      <c r="AI344" s="133"/>
      <c r="AJ344" s="133"/>
      <c r="AK344" s="133"/>
      <c r="AL344" s="133"/>
      <c r="AM344" s="133"/>
      <c r="AN344" s="133"/>
      <c r="AO344" s="133"/>
      <c r="AP344" s="133"/>
      <c r="AQ344" s="133"/>
      <c r="AR344" s="133"/>
      <c r="AS344" s="133"/>
      <c r="AT344" s="133"/>
      <c r="AU344" s="133"/>
      <c r="AV344" s="132" t="s">
        <v>1157</v>
      </c>
      <c r="AW344" s="133"/>
      <c r="AX344" s="134">
        <f>'Stavební rozpočet'!F345</f>
        <v>1</v>
      </c>
      <c r="AY344" s="135"/>
      <c r="AZ344" s="135"/>
      <c r="BA344" s="135"/>
      <c r="BB344" s="135"/>
      <c r="BC344" s="134">
        <f>'Stavební rozpočet'!G345</f>
        <v>0</v>
      </c>
      <c r="BD344" s="135"/>
      <c r="BE344" s="135"/>
      <c r="BF344" s="135"/>
      <c r="BG344" s="135"/>
      <c r="BH344" s="135"/>
      <c r="BI344" s="135"/>
      <c r="BJ344" s="135"/>
      <c r="BK344" s="134">
        <f t="shared" si="21"/>
        <v>0</v>
      </c>
      <c r="BL344" s="135"/>
      <c r="BM344" s="135"/>
      <c r="BN344" s="135"/>
      <c r="BO344" s="135"/>
      <c r="BP344" s="135"/>
      <c r="BQ344" s="135"/>
      <c r="BR344" s="135"/>
      <c r="BS344" s="132" t="s">
        <v>1177</v>
      </c>
      <c r="BT344" s="133"/>
      <c r="BU344" s="133"/>
      <c r="BV344" s="133"/>
      <c r="BW344" s="133"/>
      <c r="BX344" s="133"/>
      <c r="IR344" s="46">
        <f t="shared" si="22"/>
        <v>0</v>
      </c>
      <c r="IS344" s="46">
        <f t="shared" si="23"/>
        <v>0</v>
      </c>
    </row>
    <row r="345" spans="1:253" ht="12.75">
      <c r="A345" s="132" t="s">
        <v>290</v>
      </c>
      <c r="B345" s="133"/>
      <c r="C345" s="132"/>
      <c r="D345" s="133"/>
      <c r="E345" s="133"/>
      <c r="F345" s="132" t="s">
        <v>651</v>
      </c>
      <c r="G345" s="133"/>
      <c r="H345" s="133"/>
      <c r="I345" s="133"/>
      <c r="J345" s="133"/>
      <c r="K345" s="133"/>
      <c r="L345" s="132" t="s">
        <v>1013</v>
      </c>
      <c r="M345" s="133"/>
      <c r="N345" s="133"/>
      <c r="O345" s="133"/>
      <c r="P345" s="133"/>
      <c r="Q345" s="133"/>
      <c r="R345" s="133"/>
      <c r="S345" s="133"/>
      <c r="T345" s="133"/>
      <c r="U345" s="133"/>
      <c r="V345" s="133"/>
      <c r="W345" s="133"/>
      <c r="X345" s="133"/>
      <c r="Y345" s="133"/>
      <c r="Z345" s="133"/>
      <c r="AA345" s="133"/>
      <c r="AB345" s="133"/>
      <c r="AC345" s="133"/>
      <c r="AD345" s="133"/>
      <c r="AE345" s="133"/>
      <c r="AF345" s="133"/>
      <c r="AG345" s="133"/>
      <c r="AH345" s="133"/>
      <c r="AI345" s="133"/>
      <c r="AJ345" s="133"/>
      <c r="AK345" s="133"/>
      <c r="AL345" s="133"/>
      <c r="AM345" s="133"/>
      <c r="AN345" s="133"/>
      <c r="AO345" s="133"/>
      <c r="AP345" s="133"/>
      <c r="AQ345" s="133"/>
      <c r="AR345" s="133"/>
      <c r="AS345" s="133"/>
      <c r="AT345" s="133"/>
      <c r="AU345" s="133"/>
      <c r="AV345" s="132" t="s">
        <v>1157</v>
      </c>
      <c r="AW345" s="133"/>
      <c r="AX345" s="134">
        <f>'Stavební rozpočet'!F346</f>
        <v>1</v>
      </c>
      <c r="AY345" s="135"/>
      <c r="AZ345" s="135"/>
      <c r="BA345" s="135"/>
      <c r="BB345" s="135"/>
      <c r="BC345" s="134">
        <f>'Stavební rozpočet'!G346</f>
        <v>0</v>
      </c>
      <c r="BD345" s="135"/>
      <c r="BE345" s="135"/>
      <c r="BF345" s="135"/>
      <c r="BG345" s="135"/>
      <c r="BH345" s="135"/>
      <c r="BI345" s="135"/>
      <c r="BJ345" s="135"/>
      <c r="BK345" s="134">
        <f t="shared" si="21"/>
        <v>0</v>
      </c>
      <c r="BL345" s="135"/>
      <c r="BM345" s="135"/>
      <c r="BN345" s="135"/>
      <c r="BO345" s="135"/>
      <c r="BP345" s="135"/>
      <c r="BQ345" s="135"/>
      <c r="BR345" s="135"/>
      <c r="BS345" s="132" t="s">
        <v>1177</v>
      </c>
      <c r="BT345" s="133"/>
      <c r="BU345" s="133"/>
      <c r="BV345" s="133"/>
      <c r="BW345" s="133"/>
      <c r="BX345" s="133"/>
      <c r="IR345" s="46">
        <f t="shared" si="22"/>
        <v>0</v>
      </c>
      <c r="IS345" s="46">
        <f t="shared" si="23"/>
        <v>0</v>
      </c>
    </row>
    <row r="346" spans="1:253" ht="12.75">
      <c r="A346" s="132" t="s">
        <v>291</v>
      </c>
      <c r="B346" s="133"/>
      <c r="C346" s="132"/>
      <c r="D346" s="133"/>
      <c r="E346" s="133"/>
      <c r="F346" s="132" t="s">
        <v>623</v>
      </c>
      <c r="G346" s="133"/>
      <c r="H346" s="133"/>
      <c r="I346" s="133"/>
      <c r="J346" s="133"/>
      <c r="K346" s="133"/>
      <c r="L346" s="132" t="s">
        <v>1042</v>
      </c>
      <c r="M346" s="133"/>
      <c r="N346" s="133"/>
      <c r="O346" s="133"/>
      <c r="P346" s="133"/>
      <c r="Q346" s="133"/>
      <c r="R346" s="133"/>
      <c r="S346" s="133"/>
      <c r="T346" s="133"/>
      <c r="U346" s="133"/>
      <c r="V346" s="133"/>
      <c r="W346" s="133"/>
      <c r="X346" s="133"/>
      <c r="Y346" s="133"/>
      <c r="Z346" s="133"/>
      <c r="AA346" s="133"/>
      <c r="AB346" s="133"/>
      <c r="AC346" s="133"/>
      <c r="AD346" s="133"/>
      <c r="AE346" s="133"/>
      <c r="AF346" s="133"/>
      <c r="AG346" s="133"/>
      <c r="AH346" s="133"/>
      <c r="AI346" s="133"/>
      <c r="AJ346" s="133"/>
      <c r="AK346" s="133"/>
      <c r="AL346" s="133"/>
      <c r="AM346" s="133"/>
      <c r="AN346" s="133"/>
      <c r="AO346" s="133"/>
      <c r="AP346" s="133"/>
      <c r="AQ346" s="133"/>
      <c r="AR346" s="133"/>
      <c r="AS346" s="133"/>
      <c r="AT346" s="133"/>
      <c r="AU346" s="133"/>
      <c r="AV346" s="132" t="s">
        <v>1153</v>
      </c>
      <c r="AW346" s="133"/>
      <c r="AX346" s="134">
        <f>'Stavební rozpočet'!F347</f>
        <v>1</v>
      </c>
      <c r="AY346" s="135"/>
      <c r="AZ346" s="135"/>
      <c r="BA346" s="135"/>
      <c r="BB346" s="135"/>
      <c r="BC346" s="134">
        <f>'Stavební rozpočet'!G347</f>
        <v>0</v>
      </c>
      <c r="BD346" s="135"/>
      <c r="BE346" s="135"/>
      <c r="BF346" s="135"/>
      <c r="BG346" s="135"/>
      <c r="BH346" s="135"/>
      <c r="BI346" s="135"/>
      <c r="BJ346" s="135"/>
      <c r="BK346" s="134">
        <f t="shared" si="21"/>
        <v>0</v>
      </c>
      <c r="BL346" s="135"/>
      <c r="BM346" s="135"/>
      <c r="BN346" s="135"/>
      <c r="BO346" s="135"/>
      <c r="BP346" s="135"/>
      <c r="BQ346" s="135"/>
      <c r="BR346" s="135"/>
      <c r="BS346" s="132" t="s">
        <v>1177</v>
      </c>
      <c r="BT346" s="133"/>
      <c r="BU346" s="133"/>
      <c r="BV346" s="133"/>
      <c r="BW346" s="133"/>
      <c r="BX346" s="133"/>
      <c r="IR346" s="46">
        <f t="shared" si="22"/>
        <v>0</v>
      </c>
      <c r="IS346" s="46">
        <f t="shared" si="23"/>
        <v>0</v>
      </c>
    </row>
    <row r="347" spans="1:253" ht="12.75">
      <c r="A347" s="132" t="s">
        <v>292</v>
      </c>
      <c r="B347" s="133"/>
      <c r="C347" s="132"/>
      <c r="D347" s="133"/>
      <c r="E347" s="133"/>
      <c r="F347" s="132" t="s">
        <v>652</v>
      </c>
      <c r="G347" s="133"/>
      <c r="H347" s="133"/>
      <c r="I347" s="133"/>
      <c r="J347" s="133"/>
      <c r="K347" s="133"/>
      <c r="L347" s="132" t="s">
        <v>1042</v>
      </c>
      <c r="M347" s="133"/>
      <c r="N347" s="133"/>
      <c r="O347" s="133"/>
      <c r="P347" s="133"/>
      <c r="Q347" s="133"/>
      <c r="R347" s="133"/>
      <c r="S347" s="133"/>
      <c r="T347" s="133"/>
      <c r="U347" s="133"/>
      <c r="V347" s="133"/>
      <c r="W347" s="133"/>
      <c r="X347" s="133"/>
      <c r="Y347" s="133"/>
      <c r="Z347" s="133"/>
      <c r="AA347" s="133"/>
      <c r="AB347" s="133"/>
      <c r="AC347" s="133"/>
      <c r="AD347" s="133"/>
      <c r="AE347" s="133"/>
      <c r="AF347" s="133"/>
      <c r="AG347" s="133"/>
      <c r="AH347" s="133"/>
      <c r="AI347" s="133"/>
      <c r="AJ347" s="133"/>
      <c r="AK347" s="133"/>
      <c r="AL347" s="133"/>
      <c r="AM347" s="133"/>
      <c r="AN347" s="133"/>
      <c r="AO347" s="133"/>
      <c r="AP347" s="133"/>
      <c r="AQ347" s="133"/>
      <c r="AR347" s="133"/>
      <c r="AS347" s="133"/>
      <c r="AT347" s="133"/>
      <c r="AU347" s="133"/>
      <c r="AV347" s="132" t="s">
        <v>1157</v>
      </c>
      <c r="AW347" s="133"/>
      <c r="AX347" s="134">
        <f>'Stavební rozpočet'!F348</f>
        <v>1</v>
      </c>
      <c r="AY347" s="135"/>
      <c r="AZ347" s="135"/>
      <c r="BA347" s="135"/>
      <c r="BB347" s="135"/>
      <c r="BC347" s="134">
        <f>'Stavební rozpočet'!G348</f>
        <v>0</v>
      </c>
      <c r="BD347" s="135"/>
      <c r="BE347" s="135"/>
      <c r="BF347" s="135"/>
      <c r="BG347" s="135"/>
      <c r="BH347" s="135"/>
      <c r="BI347" s="135"/>
      <c r="BJ347" s="135"/>
      <c r="BK347" s="134">
        <f t="shared" si="21"/>
        <v>0</v>
      </c>
      <c r="BL347" s="135"/>
      <c r="BM347" s="135"/>
      <c r="BN347" s="135"/>
      <c r="BO347" s="135"/>
      <c r="BP347" s="135"/>
      <c r="BQ347" s="135"/>
      <c r="BR347" s="135"/>
      <c r="BS347" s="132" t="s">
        <v>1177</v>
      </c>
      <c r="BT347" s="133"/>
      <c r="BU347" s="133"/>
      <c r="BV347" s="133"/>
      <c r="BW347" s="133"/>
      <c r="BX347" s="133"/>
      <c r="IR347" s="46">
        <f t="shared" si="22"/>
        <v>0</v>
      </c>
      <c r="IS347" s="46">
        <f t="shared" si="23"/>
        <v>0</v>
      </c>
    </row>
    <row r="348" spans="1:253" ht="12.75">
      <c r="A348" s="132" t="s">
        <v>293</v>
      </c>
      <c r="B348" s="133"/>
      <c r="C348" s="132"/>
      <c r="D348" s="133"/>
      <c r="E348" s="133"/>
      <c r="F348" s="132" t="s">
        <v>624</v>
      </c>
      <c r="G348" s="133"/>
      <c r="H348" s="133"/>
      <c r="I348" s="133"/>
      <c r="J348" s="133"/>
      <c r="K348" s="133"/>
      <c r="L348" s="132" t="s">
        <v>1015</v>
      </c>
      <c r="M348" s="133"/>
      <c r="N348" s="133"/>
      <c r="O348" s="133"/>
      <c r="P348" s="133"/>
      <c r="Q348" s="133"/>
      <c r="R348" s="133"/>
      <c r="S348" s="133"/>
      <c r="T348" s="133"/>
      <c r="U348" s="133"/>
      <c r="V348" s="133"/>
      <c r="W348" s="133"/>
      <c r="X348" s="133"/>
      <c r="Y348" s="133"/>
      <c r="Z348" s="133"/>
      <c r="AA348" s="133"/>
      <c r="AB348" s="133"/>
      <c r="AC348" s="133"/>
      <c r="AD348" s="133"/>
      <c r="AE348" s="133"/>
      <c r="AF348" s="133"/>
      <c r="AG348" s="133"/>
      <c r="AH348" s="133"/>
      <c r="AI348" s="133"/>
      <c r="AJ348" s="133"/>
      <c r="AK348" s="133"/>
      <c r="AL348" s="133"/>
      <c r="AM348" s="133"/>
      <c r="AN348" s="133"/>
      <c r="AO348" s="133"/>
      <c r="AP348" s="133"/>
      <c r="AQ348" s="133"/>
      <c r="AR348" s="133"/>
      <c r="AS348" s="133"/>
      <c r="AT348" s="133"/>
      <c r="AU348" s="133"/>
      <c r="AV348" s="132" t="s">
        <v>1153</v>
      </c>
      <c r="AW348" s="133"/>
      <c r="AX348" s="134">
        <f>'Stavební rozpočet'!F349</f>
        <v>1</v>
      </c>
      <c r="AY348" s="135"/>
      <c r="AZ348" s="135"/>
      <c r="BA348" s="135"/>
      <c r="BB348" s="135"/>
      <c r="BC348" s="134">
        <f>'Stavební rozpočet'!G349</f>
        <v>0</v>
      </c>
      <c r="BD348" s="135"/>
      <c r="BE348" s="135"/>
      <c r="BF348" s="135"/>
      <c r="BG348" s="135"/>
      <c r="BH348" s="135"/>
      <c r="BI348" s="135"/>
      <c r="BJ348" s="135"/>
      <c r="BK348" s="134">
        <f t="shared" si="21"/>
        <v>0</v>
      </c>
      <c r="BL348" s="135"/>
      <c r="BM348" s="135"/>
      <c r="BN348" s="135"/>
      <c r="BO348" s="135"/>
      <c r="BP348" s="135"/>
      <c r="BQ348" s="135"/>
      <c r="BR348" s="135"/>
      <c r="BS348" s="132" t="s">
        <v>1177</v>
      </c>
      <c r="BT348" s="133"/>
      <c r="BU348" s="133"/>
      <c r="BV348" s="133"/>
      <c r="BW348" s="133"/>
      <c r="BX348" s="133"/>
      <c r="IR348" s="46">
        <f t="shared" si="22"/>
        <v>0</v>
      </c>
      <c r="IS348" s="46">
        <f t="shared" si="23"/>
        <v>0</v>
      </c>
    </row>
    <row r="349" spans="1:253" ht="12.75">
      <c r="A349" s="132" t="s">
        <v>294</v>
      </c>
      <c r="B349" s="133"/>
      <c r="C349" s="132"/>
      <c r="D349" s="133"/>
      <c r="E349" s="133"/>
      <c r="F349" s="132" t="s">
        <v>624</v>
      </c>
      <c r="G349" s="133"/>
      <c r="H349" s="133"/>
      <c r="I349" s="133"/>
      <c r="J349" s="133"/>
      <c r="K349" s="133"/>
      <c r="L349" s="132" t="s">
        <v>1043</v>
      </c>
      <c r="M349" s="133"/>
      <c r="N349" s="133"/>
      <c r="O349" s="133"/>
      <c r="P349" s="133"/>
      <c r="Q349" s="133"/>
      <c r="R349" s="133"/>
      <c r="S349" s="133"/>
      <c r="T349" s="133"/>
      <c r="U349" s="133"/>
      <c r="V349" s="133"/>
      <c r="W349" s="133"/>
      <c r="X349" s="133"/>
      <c r="Y349" s="133"/>
      <c r="Z349" s="133"/>
      <c r="AA349" s="133"/>
      <c r="AB349" s="133"/>
      <c r="AC349" s="133"/>
      <c r="AD349" s="133"/>
      <c r="AE349" s="133"/>
      <c r="AF349" s="133"/>
      <c r="AG349" s="133"/>
      <c r="AH349" s="133"/>
      <c r="AI349" s="133"/>
      <c r="AJ349" s="133"/>
      <c r="AK349" s="133"/>
      <c r="AL349" s="133"/>
      <c r="AM349" s="133"/>
      <c r="AN349" s="133"/>
      <c r="AO349" s="133"/>
      <c r="AP349" s="133"/>
      <c r="AQ349" s="133"/>
      <c r="AR349" s="133"/>
      <c r="AS349" s="133"/>
      <c r="AT349" s="133"/>
      <c r="AU349" s="133"/>
      <c r="AV349" s="132" t="s">
        <v>1155</v>
      </c>
      <c r="AW349" s="133"/>
      <c r="AX349" s="134">
        <f>'Stavební rozpočet'!F350</f>
        <v>1</v>
      </c>
      <c r="AY349" s="135"/>
      <c r="AZ349" s="135"/>
      <c r="BA349" s="135"/>
      <c r="BB349" s="135"/>
      <c r="BC349" s="134">
        <f>'Stavební rozpočet'!G350</f>
        <v>0</v>
      </c>
      <c r="BD349" s="135"/>
      <c r="BE349" s="135"/>
      <c r="BF349" s="135"/>
      <c r="BG349" s="135"/>
      <c r="BH349" s="135"/>
      <c r="BI349" s="135"/>
      <c r="BJ349" s="135"/>
      <c r="BK349" s="134">
        <f t="shared" si="21"/>
        <v>0</v>
      </c>
      <c r="BL349" s="135"/>
      <c r="BM349" s="135"/>
      <c r="BN349" s="135"/>
      <c r="BO349" s="135"/>
      <c r="BP349" s="135"/>
      <c r="BQ349" s="135"/>
      <c r="BR349" s="135"/>
      <c r="BS349" s="132" t="s">
        <v>1177</v>
      </c>
      <c r="BT349" s="133"/>
      <c r="BU349" s="133"/>
      <c r="BV349" s="133"/>
      <c r="BW349" s="133"/>
      <c r="BX349" s="133"/>
      <c r="IR349" s="46">
        <f t="shared" si="22"/>
        <v>0</v>
      </c>
      <c r="IS349" s="46">
        <f t="shared" si="23"/>
        <v>0</v>
      </c>
    </row>
    <row r="350" spans="1:253" ht="12.75">
      <c r="A350" s="132" t="s">
        <v>295</v>
      </c>
      <c r="B350" s="133"/>
      <c r="C350" s="132"/>
      <c r="D350" s="133"/>
      <c r="E350" s="133"/>
      <c r="F350" s="132" t="s">
        <v>626</v>
      </c>
      <c r="G350" s="133"/>
      <c r="H350" s="133"/>
      <c r="I350" s="133"/>
      <c r="J350" s="133"/>
      <c r="K350" s="133"/>
      <c r="L350" s="132" t="s">
        <v>1044</v>
      </c>
      <c r="M350" s="133"/>
      <c r="N350" s="133"/>
      <c r="O350" s="133"/>
      <c r="P350" s="133"/>
      <c r="Q350" s="133"/>
      <c r="R350" s="133"/>
      <c r="S350" s="133"/>
      <c r="T350" s="133"/>
      <c r="U350" s="133"/>
      <c r="V350" s="133"/>
      <c r="W350" s="133"/>
      <c r="X350" s="133"/>
      <c r="Y350" s="133"/>
      <c r="Z350" s="133"/>
      <c r="AA350" s="133"/>
      <c r="AB350" s="133"/>
      <c r="AC350" s="133"/>
      <c r="AD350" s="133"/>
      <c r="AE350" s="133"/>
      <c r="AF350" s="133"/>
      <c r="AG350" s="133"/>
      <c r="AH350" s="133"/>
      <c r="AI350" s="133"/>
      <c r="AJ350" s="133"/>
      <c r="AK350" s="133"/>
      <c r="AL350" s="133"/>
      <c r="AM350" s="133"/>
      <c r="AN350" s="133"/>
      <c r="AO350" s="133"/>
      <c r="AP350" s="133"/>
      <c r="AQ350" s="133"/>
      <c r="AR350" s="133"/>
      <c r="AS350" s="133"/>
      <c r="AT350" s="133"/>
      <c r="AU350" s="133"/>
      <c r="AV350" s="132" t="s">
        <v>1153</v>
      </c>
      <c r="AW350" s="133"/>
      <c r="AX350" s="134">
        <f>'Stavební rozpočet'!F351</f>
        <v>4</v>
      </c>
      <c r="AY350" s="135"/>
      <c r="AZ350" s="135"/>
      <c r="BA350" s="135"/>
      <c r="BB350" s="135"/>
      <c r="BC350" s="134">
        <f>'Stavební rozpočet'!G351</f>
        <v>0</v>
      </c>
      <c r="BD350" s="135"/>
      <c r="BE350" s="135"/>
      <c r="BF350" s="135"/>
      <c r="BG350" s="135"/>
      <c r="BH350" s="135"/>
      <c r="BI350" s="135"/>
      <c r="BJ350" s="135"/>
      <c r="BK350" s="134">
        <f t="shared" si="21"/>
        <v>0</v>
      </c>
      <c r="BL350" s="135"/>
      <c r="BM350" s="135"/>
      <c r="BN350" s="135"/>
      <c r="BO350" s="135"/>
      <c r="BP350" s="135"/>
      <c r="BQ350" s="135"/>
      <c r="BR350" s="135"/>
      <c r="BS350" s="132" t="s">
        <v>1177</v>
      </c>
      <c r="BT350" s="133"/>
      <c r="BU350" s="133"/>
      <c r="BV350" s="133"/>
      <c r="BW350" s="133"/>
      <c r="BX350" s="133"/>
      <c r="IR350" s="46">
        <f t="shared" si="22"/>
        <v>0</v>
      </c>
      <c r="IS350" s="46">
        <f t="shared" si="23"/>
        <v>0</v>
      </c>
    </row>
    <row r="351" spans="1:253" ht="12.75">
      <c r="A351" s="132" t="s">
        <v>296</v>
      </c>
      <c r="B351" s="133"/>
      <c r="C351" s="132"/>
      <c r="D351" s="133"/>
      <c r="E351" s="133"/>
      <c r="F351" s="132" t="s">
        <v>653</v>
      </c>
      <c r="G351" s="133"/>
      <c r="H351" s="133"/>
      <c r="I351" s="133"/>
      <c r="J351" s="133"/>
      <c r="K351" s="133"/>
      <c r="L351" s="132" t="s">
        <v>1045</v>
      </c>
      <c r="M351" s="133"/>
      <c r="N351" s="133"/>
      <c r="O351" s="133"/>
      <c r="P351" s="133"/>
      <c r="Q351" s="133"/>
      <c r="R351" s="133"/>
      <c r="S351" s="133"/>
      <c r="T351" s="133"/>
      <c r="U351" s="133"/>
      <c r="V351" s="133"/>
      <c r="W351" s="133"/>
      <c r="X351" s="133"/>
      <c r="Y351" s="133"/>
      <c r="Z351" s="133"/>
      <c r="AA351" s="133"/>
      <c r="AB351" s="133"/>
      <c r="AC351" s="133"/>
      <c r="AD351" s="133"/>
      <c r="AE351" s="133"/>
      <c r="AF351" s="133"/>
      <c r="AG351" s="133"/>
      <c r="AH351" s="133"/>
      <c r="AI351" s="133"/>
      <c r="AJ351" s="133"/>
      <c r="AK351" s="133"/>
      <c r="AL351" s="133"/>
      <c r="AM351" s="133"/>
      <c r="AN351" s="133"/>
      <c r="AO351" s="133"/>
      <c r="AP351" s="133"/>
      <c r="AQ351" s="133"/>
      <c r="AR351" s="133"/>
      <c r="AS351" s="133"/>
      <c r="AT351" s="133"/>
      <c r="AU351" s="133"/>
      <c r="AV351" s="132" t="s">
        <v>1155</v>
      </c>
      <c r="AW351" s="133"/>
      <c r="AX351" s="134">
        <f>'Stavební rozpočet'!F352</f>
        <v>11</v>
      </c>
      <c r="AY351" s="135"/>
      <c r="AZ351" s="135"/>
      <c r="BA351" s="135"/>
      <c r="BB351" s="135"/>
      <c r="BC351" s="134">
        <f>'Stavební rozpočet'!G352</f>
        <v>0</v>
      </c>
      <c r="BD351" s="135"/>
      <c r="BE351" s="135"/>
      <c r="BF351" s="135"/>
      <c r="BG351" s="135"/>
      <c r="BH351" s="135"/>
      <c r="BI351" s="135"/>
      <c r="BJ351" s="135"/>
      <c r="BK351" s="134">
        <f t="shared" si="21"/>
        <v>0</v>
      </c>
      <c r="BL351" s="135"/>
      <c r="BM351" s="135"/>
      <c r="BN351" s="135"/>
      <c r="BO351" s="135"/>
      <c r="BP351" s="135"/>
      <c r="BQ351" s="135"/>
      <c r="BR351" s="135"/>
      <c r="BS351" s="132" t="s">
        <v>1177</v>
      </c>
      <c r="BT351" s="133"/>
      <c r="BU351" s="133"/>
      <c r="BV351" s="133"/>
      <c r="BW351" s="133"/>
      <c r="BX351" s="133"/>
      <c r="IR351" s="46">
        <f t="shared" si="22"/>
        <v>0</v>
      </c>
      <c r="IS351" s="46">
        <f t="shared" si="23"/>
        <v>0</v>
      </c>
    </row>
    <row r="352" spans="1:253" ht="12.75">
      <c r="A352" s="132" t="s">
        <v>297</v>
      </c>
      <c r="B352" s="133"/>
      <c r="C352" s="132"/>
      <c r="D352" s="133"/>
      <c r="E352" s="133"/>
      <c r="F352" s="132" t="s">
        <v>654</v>
      </c>
      <c r="G352" s="133"/>
      <c r="H352" s="133"/>
      <c r="I352" s="133"/>
      <c r="J352" s="133"/>
      <c r="K352" s="133"/>
      <c r="L352" s="132" t="s">
        <v>1046</v>
      </c>
      <c r="M352" s="133"/>
      <c r="N352" s="133"/>
      <c r="O352" s="133"/>
      <c r="P352" s="133"/>
      <c r="Q352" s="133"/>
      <c r="R352" s="133"/>
      <c r="S352" s="133"/>
      <c r="T352" s="133"/>
      <c r="U352" s="133"/>
      <c r="V352" s="133"/>
      <c r="W352" s="133"/>
      <c r="X352" s="133"/>
      <c r="Y352" s="133"/>
      <c r="Z352" s="133"/>
      <c r="AA352" s="133"/>
      <c r="AB352" s="133"/>
      <c r="AC352" s="133"/>
      <c r="AD352" s="133"/>
      <c r="AE352" s="133"/>
      <c r="AF352" s="133"/>
      <c r="AG352" s="133"/>
      <c r="AH352" s="133"/>
      <c r="AI352" s="133"/>
      <c r="AJ352" s="133"/>
      <c r="AK352" s="133"/>
      <c r="AL352" s="133"/>
      <c r="AM352" s="133"/>
      <c r="AN352" s="133"/>
      <c r="AO352" s="133"/>
      <c r="AP352" s="133"/>
      <c r="AQ352" s="133"/>
      <c r="AR352" s="133"/>
      <c r="AS352" s="133"/>
      <c r="AT352" s="133"/>
      <c r="AU352" s="133"/>
      <c r="AV352" s="132" t="s">
        <v>1152</v>
      </c>
      <c r="AW352" s="133"/>
      <c r="AX352" s="134">
        <f>'Stavební rozpočet'!F353</f>
        <v>0.75</v>
      </c>
      <c r="AY352" s="135"/>
      <c r="AZ352" s="135"/>
      <c r="BA352" s="135"/>
      <c r="BB352" s="135"/>
      <c r="BC352" s="134">
        <f>'Stavební rozpočet'!G353</f>
        <v>0</v>
      </c>
      <c r="BD352" s="135"/>
      <c r="BE352" s="135"/>
      <c r="BF352" s="135"/>
      <c r="BG352" s="135"/>
      <c r="BH352" s="135"/>
      <c r="BI352" s="135"/>
      <c r="BJ352" s="135"/>
      <c r="BK352" s="134">
        <f t="shared" si="21"/>
        <v>0</v>
      </c>
      <c r="BL352" s="135"/>
      <c r="BM352" s="135"/>
      <c r="BN352" s="135"/>
      <c r="BO352" s="135"/>
      <c r="BP352" s="135"/>
      <c r="BQ352" s="135"/>
      <c r="BR352" s="135"/>
      <c r="BS352" s="132" t="s">
        <v>1177</v>
      </c>
      <c r="BT352" s="133"/>
      <c r="BU352" s="133"/>
      <c r="BV352" s="133"/>
      <c r="BW352" s="133"/>
      <c r="BX352" s="133"/>
      <c r="IR352" s="46">
        <f t="shared" si="22"/>
        <v>0</v>
      </c>
      <c r="IS352" s="46">
        <f t="shared" si="23"/>
        <v>0</v>
      </c>
    </row>
    <row r="353" spans="1:253" ht="12.75">
      <c r="A353" s="132" t="s">
        <v>298</v>
      </c>
      <c r="B353" s="133"/>
      <c r="C353" s="132"/>
      <c r="D353" s="133"/>
      <c r="E353" s="133"/>
      <c r="F353" s="132" t="s">
        <v>628</v>
      </c>
      <c r="G353" s="133"/>
      <c r="H353" s="133"/>
      <c r="I353" s="133"/>
      <c r="J353" s="133"/>
      <c r="K353" s="133"/>
      <c r="L353" s="132" t="s">
        <v>1047</v>
      </c>
      <c r="M353" s="133"/>
      <c r="N353" s="133"/>
      <c r="O353" s="133"/>
      <c r="P353" s="133"/>
      <c r="Q353" s="133"/>
      <c r="R353" s="133"/>
      <c r="S353" s="133"/>
      <c r="T353" s="133"/>
      <c r="U353" s="133"/>
      <c r="V353" s="133"/>
      <c r="W353" s="133"/>
      <c r="X353" s="133"/>
      <c r="Y353" s="133"/>
      <c r="Z353" s="133"/>
      <c r="AA353" s="133"/>
      <c r="AB353" s="133"/>
      <c r="AC353" s="133"/>
      <c r="AD353" s="133"/>
      <c r="AE353" s="133"/>
      <c r="AF353" s="133"/>
      <c r="AG353" s="133"/>
      <c r="AH353" s="133"/>
      <c r="AI353" s="133"/>
      <c r="AJ353" s="133"/>
      <c r="AK353" s="133"/>
      <c r="AL353" s="133"/>
      <c r="AM353" s="133"/>
      <c r="AN353" s="133"/>
      <c r="AO353" s="133"/>
      <c r="AP353" s="133"/>
      <c r="AQ353" s="133"/>
      <c r="AR353" s="133"/>
      <c r="AS353" s="133"/>
      <c r="AT353" s="133"/>
      <c r="AU353" s="133"/>
      <c r="AV353" s="132" t="s">
        <v>1155</v>
      </c>
      <c r="AW353" s="133"/>
      <c r="AX353" s="134">
        <f>'Stavební rozpočet'!F354</f>
        <v>4</v>
      </c>
      <c r="AY353" s="135"/>
      <c r="AZ353" s="135"/>
      <c r="BA353" s="135"/>
      <c r="BB353" s="135"/>
      <c r="BC353" s="134">
        <f>'Stavební rozpočet'!G354</f>
        <v>0</v>
      </c>
      <c r="BD353" s="135"/>
      <c r="BE353" s="135"/>
      <c r="BF353" s="135"/>
      <c r="BG353" s="135"/>
      <c r="BH353" s="135"/>
      <c r="BI353" s="135"/>
      <c r="BJ353" s="135"/>
      <c r="BK353" s="134">
        <f t="shared" si="21"/>
        <v>0</v>
      </c>
      <c r="BL353" s="135"/>
      <c r="BM353" s="135"/>
      <c r="BN353" s="135"/>
      <c r="BO353" s="135"/>
      <c r="BP353" s="135"/>
      <c r="BQ353" s="135"/>
      <c r="BR353" s="135"/>
      <c r="BS353" s="132" t="s">
        <v>1177</v>
      </c>
      <c r="BT353" s="133"/>
      <c r="BU353" s="133"/>
      <c r="BV353" s="133"/>
      <c r="BW353" s="133"/>
      <c r="BX353" s="133"/>
      <c r="IR353" s="46">
        <f t="shared" si="22"/>
        <v>0</v>
      </c>
      <c r="IS353" s="46">
        <f t="shared" si="23"/>
        <v>0</v>
      </c>
    </row>
    <row r="354" spans="1:253" ht="12.75">
      <c r="A354" s="132" t="s">
        <v>299</v>
      </c>
      <c r="B354" s="133"/>
      <c r="C354" s="132"/>
      <c r="D354" s="133"/>
      <c r="E354" s="133"/>
      <c r="F354" s="132" t="s">
        <v>655</v>
      </c>
      <c r="G354" s="133"/>
      <c r="H354" s="133"/>
      <c r="I354" s="133"/>
      <c r="J354" s="133"/>
      <c r="K354" s="133"/>
      <c r="L354" s="132" t="s">
        <v>1048</v>
      </c>
      <c r="M354" s="133"/>
      <c r="N354" s="133"/>
      <c r="O354" s="133"/>
      <c r="P354" s="133"/>
      <c r="Q354" s="133"/>
      <c r="R354" s="133"/>
      <c r="S354" s="133"/>
      <c r="T354" s="133"/>
      <c r="U354" s="133"/>
      <c r="V354" s="133"/>
      <c r="W354" s="133"/>
      <c r="X354" s="133"/>
      <c r="Y354" s="133"/>
      <c r="Z354" s="133"/>
      <c r="AA354" s="133"/>
      <c r="AB354" s="133"/>
      <c r="AC354" s="133"/>
      <c r="AD354" s="133"/>
      <c r="AE354" s="133"/>
      <c r="AF354" s="133"/>
      <c r="AG354" s="133"/>
      <c r="AH354" s="133"/>
      <c r="AI354" s="133"/>
      <c r="AJ354" s="133"/>
      <c r="AK354" s="133"/>
      <c r="AL354" s="133"/>
      <c r="AM354" s="133"/>
      <c r="AN354" s="133"/>
      <c r="AO354" s="133"/>
      <c r="AP354" s="133"/>
      <c r="AQ354" s="133"/>
      <c r="AR354" s="133"/>
      <c r="AS354" s="133"/>
      <c r="AT354" s="133"/>
      <c r="AU354" s="133"/>
      <c r="AV354" s="132" t="s">
        <v>1157</v>
      </c>
      <c r="AW354" s="133"/>
      <c r="AX354" s="134">
        <f>'Stavební rozpočet'!F355</f>
        <v>4</v>
      </c>
      <c r="AY354" s="135"/>
      <c r="AZ354" s="135"/>
      <c r="BA354" s="135"/>
      <c r="BB354" s="135"/>
      <c r="BC354" s="134">
        <f>'Stavební rozpočet'!G355</f>
        <v>0</v>
      </c>
      <c r="BD354" s="135"/>
      <c r="BE354" s="135"/>
      <c r="BF354" s="135"/>
      <c r="BG354" s="135"/>
      <c r="BH354" s="135"/>
      <c r="BI354" s="135"/>
      <c r="BJ354" s="135"/>
      <c r="BK354" s="134">
        <f t="shared" si="21"/>
        <v>0</v>
      </c>
      <c r="BL354" s="135"/>
      <c r="BM354" s="135"/>
      <c r="BN354" s="135"/>
      <c r="BO354" s="135"/>
      <c r="BP354" s="135"/>
      <c r="BQ354" s="135"/>
      <c r="BR354" s="135"/>
      <c r="BS354" s="132" t="s">
        <v>1177</v>
      </c>
      <c r="BT354" s="133"/>
      <c r="BU354" s="133"/>
      <c r="BV354" s="133"/>
      <c r="BW354" s="133"/>
      <c r="BX354" s="133"/>
      <c r="IR354" s="46">
        <f t="shared" si="22"/>
        <v>0</v>
      </c>
      <c r="IS354" s="46">
        <f t="shared" si="23"/>
        <v>0</v>
      </c>
    </row>
    <row r="355" spans="1:76" ht="12.75">
      <c r="A355" s="136" t="s">
        <v>6</v>
      </c>
      <c r="B355" s="137"/>
      <c r="C355" s="136" t="s">
        <v>6</v>
      </c>
      <c r="D355" s="137"/>
      <c r="E355" s="137"/>
      <c r="F355" s="136" t="s">
        <v>656</v>
      </c>
      <c r="G355" s="137"/>
      <c r="H355" s="137"/>
      <c r="I355" s="137"/>
      <c r="J355" s="137"/>
      <c r="K355" s="137"/>
      <c r="L355" s="136" t="s">
        <v>1049</v>
      </c>
      <c r="M355" s="137"/>
      <c r="N355" s="137"/>
      <c r="O355" s="137"/>
      <c r="P355" s="137"/>
      <c r="Q355" s="137"/>
      <c r="R355" s="137"/>
      <c r="S355" s="137"/>
      <c r="T355" s="137"/>
      <c r="U355" s="137"/>
      <c r="V355" s="137"/>
      <c r="W355" s="137"/>
      <c r="X355" s="137"/>
      <c r="Y355" s="137"/>
      <c r="Z355" s="137"/>
      <c r="AA355" s="137"/>
      <c r="AB355" s="137"/>
      <c r="AC355" s="137"/>
      <c r="AD355" s="137"/>
      <c r="AE355" s="137"/>
      <c r="AF355" s="137"/>
      <c r="AG355" s="137"/>
      <c r="AH355" s="137"/>
      <c r="AI355" s="137"/>
      <c r="AJ355" s="137"/>
      <c r="AK355" s="137"/>
      <c r="AL355" s="137"/>
      <c r="AM355" s="137"/>
      <c r="AN355" s="137"/>
      <c r="AO355" s="137"/>
      <c r="AP355" s="137"/>
      <c r="AQ355" s="137"/>
      <c r="AR355" s="137"/>
      <c r="AS355" s="137"/>
      <c r="AT355" s="137"/>
      <c r="AU355" s="137"/>
      <c r="AV355" s="136" t="s">
        <v>6</v>
      </c>
      <c r="AW355" s="137"/>
      <c r="AX355" s="138" t="s">
        <v>6</v>
      </c>
      <c r="AY355" s="139"/>
      <c r="AZ355" s="139"/>
      <c r="BA355" s="139"/>
      <c r="BB355" s="139"/>
      <c r="BC355" s="138" t="s">
        <v>6</v>
      </c>
      <c r="BD355" s="139"/>
      <c r="BE355" s="139"/>
      <c r="BF355" s="139"/>
      <c r="BG355" s="139"/>
      <c r="BH355" s="139"/>
      <c r="BI355" s="139"/>
      <c r="BJ355" s="139"/>
      <c r="BK355" s="140">
        <f>SUM(BK356:BK380)</f>
        <v>0</v>
      </c>
      <c r="BL355" s="139"/>
      <c r="BM355" s="139"/>
      <c r="BN355" s="139"/>
      <c r="BO355" s="139"/>
      <c r="BP355" s="139"/>
      <c r="BQ355" s="139"/>
      <c r="BR355" s="139"/>
      <c r="BS355" s="136" t="s">
        <v>6</v>
      </c>
      <c r="BT355" s="137"/>
      <c r="BU355" s="137"/>
      <c r="BV355" s="137"/>
      <c r="BW355" s="137"/>
      <c r="BX355" s="137"/>
    </row>
    <row r="356" spans="1:253" ht="12.75">
      <c r="A356" s="132" t="s">
        <v>300</v>
      </c>
      <c r="B356" s="133"/>
      <c r="C356" s="132"/>
      <c r="D356" s="133"/>
      <c r="E356" s="133"/>
      <c r="F356" s="132" t="s">
        <v>657</v>
      </c>
      <c r="G356" s="133"/>
      <c r="H356" s="133"/>
      <c r="I356" s="133"/>
      <c r="J356" s="133"/>
      <c r="K356" s="133"/>
      <c r="L356" s="132" t="s">
        <v>1050</v>
      </c>
      <c r="M356" s="133"/>
      <c r="N356" s="133"/>
      <c r="O356" s="133"/>
      <c r="P356" s="133"/>
      <c r="Q356" s="133"/>
      <c r="R356" s="133"/>
      <c r="S356" s="133"/>
      <c r="T356" s="133"/>
      <c r="U356" s="133"/>
      <c r="V356" s="133"/>
      <c r="W356" s="133"/>
      <c r="X356" s="133"/>
      <c r="Y356" s="133"/>
      <c r="Z356" s="133"/>
      <c r="AA356" s="133"/>
      <c r="AB356" s="133"/>
      <c r="AC356" s="133"/>
      <c r="AD356" s="133"/>
      <c r="AE356" s="133"/>
      <c r="AF356" s="133"/>
      <c r="AG356" s="133"/>
      <c r="AH356" s="133"/>
      <c r="AI356" s="133"/>
      <c r="AJ356" s="133"/>
      <c r="AK356" s="133"/>
      <c r="AL356" s="133"/>
      <c r="AM356" s="133"/>
      <c r="AN356" s="133"/>
      <c r="AO356" s="133"/>
      <c r="AP356" s="133"/>
      <c r="AQ356" s="133"/>
      <c r="AR356" s="133"/>
      <c r="AS356" s="133"/>
      <c r="AT356" s="133"/>
      <c r="AU356" s="133"/>
      <c r="AV356" s="132" t="s">
        <v>1151</v>
      </c>
      <c r="AW356" s="133"/>
      <c r="AX356" s="134">
        <f>'Stavební rozpočet'!F357</f>
        <v>27.9051</v>
      </c>
      <c r="AY356" s="135"/>
      <c r="AZ356" s="135"/>
      <c r="BA356" s="135"/>
      <c r="BB356" s="135"/>
      <c r="BC356" s="134">
        <f>'Stavební rozpočet'!G357</f>
        <v>0</v>
      </c>
      <c r="BD356" s="135"/>
      <c r="BE356" s="135"/>
      <c r="BF356" s="135"/>
      <c r="BG356" s="135"/>
      <c r="BH356" s="135"/>
      <c r="BI356" s="135"/>
      <c r="BJ356" s="135"/>
      <c r="BK356" s="134">
        <f>IR356*AX356+IS356*AX356</f>
        <v>0</v>
      </c>
      <c r="BL356" s="135"/>
      <c r="BM356" s="135"/>
      <c r="BN356" s="135"/>
      <c r="BO356" s="135"/>
      <c r="BP356" s="135"/>
      <c r="BQ356" s="135"/>
      <c r="BR356" s="135"/>
      <c r="BS356" s="132" t="s">
        <v>1177</v>
      </c>
      <c r="BT356" s="133"/>
      <c r="BU356" s="133"/>
      <c r="BV356" s="133"/>
      <c r="BW356" s="133"/>
      <c r="BX356" s="133"/>
      <c r="IR356" s="46">
        <f>BC356*0.793910527259225</f>
        <v>0</v>
      </c>
      <c r="IS356" s="46">
        <f>BC356*(1-0.793910527259225)</f>
        <v>0</v>
      </c>
    </row>
    <row r="357" spans="1:76" ht="12.75">
      <c r="A357" s="132"/>
      <c r="B357" s="133"/>
      <c r="C357" s="133"/>
      <c r="D357" s="133"/>
      <c r="E357" s="133"/>
      <c r="F357" s="133"/>
      <c r="G357" s="133"/>
      <c r="H357" s="133"/>
      <c r="I357" s="133"/>
      <c r="J357" s="133"/>
      <c r="K357" s="133"/>
      <c r="L357" s="141" t="s">
        <v>1051</v>
      </c>
      <c r="M357" s="142"/>
      <c r="N357" s="142"/>
      <c r="O357" s="142"/>
      <c r="P357" s="142"/>
      <c r="Q357" s="142"/>
      <c r="R357" s="142"/>
      <c r="S357" s="142"/>
      <c r="T357" s="142"/>
      <c r="U357" s="142"/>
      <c r="V357" s="142"/>
      <c r="W357" s="142"/>
      <c r="X357" s="142"/>
      <c r="Y357" s="142"/>
      <c r="Z357" s="142"/>
      <c r="AA357" s="142"/>
      <c r="AB357" s="142"/>
      <c r="AC357" s="142"/>
      <c r="AD357" s="142"/>
      <c r="AE357" s="142"/>
      <c r="AF357" s="142"/>
      <c r="AG357" s="142"/>
      <c r="AH357" s="142"/>
      <c r="AI357" s="142"/>
      <c r="AJ357" s="142"/>
      <c r="AK357" s="142"/>
      <c r="AL357" s="142"/>
      <c r="AM357" s="142"/>
      <c r="AN357" s="142"/>
      <c r="AO357" s="142"/>
      <c r="AP357" s="142"/>
      <c r="AQ357" s="142"/>
      <c r="AR357" s="142"/>
      <c r="AS357" s="142"/>
      <c r="AT357" s="142"/>
      <c r="AU357" s="142"/>
      <c r="AV357" s="132"/>
      <c r="AW357" s="133"/>
      <c r="AX357" s="133"/>
      <c r="AY357" s="133"/>
      <c r="AZ357" s="133"/>
      <c r="BA357" s="133"/>
      <c r="BB357" s="133"/>
      <c r="BC357" s="133"/>
      <c r="BD357" s="133"/>
      <c r="BE357" s="133"/>
      <c r="BF357" s="133"/>
      <c r="BG357" s="133"/>
      <c r="BH357" s="133"/>
      <c r="BI357" s="133"/>
      <c r="BJ357" s="133"/>
      <c r="BK357" s="133"/>
      <c r="BL357" s="133"/>
      <c r="BM357" s="133"/>
      <c r="BN357" s="133"/>
      <c r="BO357" s="133"/>
      <c r="BP357" s="133"/>
      <c r="BQ357" s="133"/>
      <c r="BR357" s="133"/>
      <c r="BS357" s="133"/>
      <c r="BT357" s="133"/>
      <c r="BU357" s="133"/>
      <c r="BV357" s="133"/>
      <c r="BW357" s="133"/>
      <c r="BX357" s="133"/>
    </row>
    <row r="358" spans="1:253" ht="12.75">
      <c r="A358" s="132" t="s">
        <v>301</v>
      </c>
      <c r="B358" s="133"/>
      <c r="C358" s="132"/>
      <c r="D358" s="133"/>
      <c r="E358" s="133"/>
      <c r="F358" s="132" t="s">
        <v>658</v>
      </c>
      <c r="G358" s="133"/>
      <c r="H358" s="133"/>
      <c r="I358" s="133"/>
      <c r="J358" s="133"/>
      <c r="K358" s="133"/>
      <c r="L358" s="132" t="s">
        <v>1052</v>
      </c>
      <c r="M358" s="133"/>
      <c r="N358" s="133"/>
      <c r="O358" s="133"/>
      <c r="P358" s="133"/>
      <c r="Q358" s="133"/>
      <c r="R358" s="133"/>
      <c r="S358" s="133"/>
      <c r="T358" s="133"/>
      <c r="U358" s="133"/>
      <c r="V358" s="133"/>
      <c r="W358" s="133"/>
      <c r="X358" s="133"/>
      <c r="Y358" s="133"/>
      <c r="Z358" s="133"/>
      <c r="AA358" s="133"/>
      <c r="AB358" s="133"/>
      <c r="AC358" s="133"/>
      <c r="AD358" s="133"/>
      <c r="AE358" s="133"/>
      <c r="AF358" s="133"/>
      <c r="AG358" s="133"/>
      <c r="AH358" s="133"/>
      <c r="AI358" s="133"/>
      <c r="AJ358" s="133"/>
      <c r="AK358" s="133"/>
      <c r="AL358" s="133"/>
      <c r="AM358" s="133"/>
      <c r="AN358" s="133"/>
      <c r="AO358" s="133"/>
      <c r="AP358" s="133"/>
      <c r="AQ358" s="133"/>
      <c r="AR358" s="133"/>
      <c r="AS358" s="133"/>
      <c r="AT358" s="133"/>
      <c r="AU358" s="133"/>
      <c r="AV358" s="132" t="s">
        <v>1150</v>
      </c>
      <c r="AW358" s="133"/>
      <c r="AX358" s="134">
        <f>'Stavební rozpočet'!F359</f>
        <v>0.6697</v>
      </c>
      <c r="AY358" s="135"/>
      <c r="AZ358" s="135"/>
      <c r="BA358" s="135"/>
      <c r="BB358" s="135"/>
      <c r="BC358" s="134">
        <f>'Stavební rozpočet'!G359</f>
        <v>0</v>
      </c>
      <c r="BD358" s="135"/>
      <c r="BE358" s="135"/>
      <c r="BF358" s="135"/>
      <c r="BG358" s="135"/>
      <c r="BH358" s="135"/>
      <c r="BI358" s="135"/>
      <c r="BJ358" s="135"/>
      <c r="BK358" s="134">
        <f>IR358*AX358+IS358*AX358</f>
        <v>0</v>
      </c>
      <c r="BL358" s="135"/>
      <c r="BM358" s="135"/>
      <c r="BN358" s="135"/>
      <c r="BO358" s="135"/>
      <c r="BP358" s="135"/>
      <c r="BQ358" s="135"/>
      <c r="BR358" s="135"/>
      <c r="BS358" s="132" t="s">
        <v>1177</v>
      </c>
      <c r="BT358" s="133"/>
      <c r="BU358" s="133"/>
      <c r="BV358" s="133"/>
      <c r="BW358" s="133"/>
      <c r="BX358" s="133"/>
      <c r="IR358" s="46">
        <f>BC358*1</f>
        <v>0</v>
      </c>
      <c r="IS358" s="46">
        <f>BC358*(1-1)</f>
        <v>0</v>
      </c>
    </row>
    <row r="359" spans="1:253" ht="12.75">
      <c r="A359" s="132" t="s">
        <v>302</v>
      </c>
      <c r="B359" s="133"/>
      <c r="C359" s="132"/>
      <c r="D359" s="133"/>
      <c r="E359" s="133"/>
      <c r="F359" s="132" t="s">
        <v>659</v>
      </c>
      <c r="G359" s="133"/>
      <c r="H359" s="133"/>
      <c r="I359" s="133"/>
      <c r="J359" s="133"/>
      <c r="K359" s="133"/>
      <c r="L359" s="132" t="s">
        <v>1053</v>
      </c>
      <c r="M359" s="133"/>
      <c r="N359" s="133"/>
      <c r="O359" s="133"/>
      <c r="P359" s="133"/>
      <c r="Q359" s="133"/>
      <c r="R359" s="133"/>
      <c r="S359" s="133"/>
      <c r="T359" s="133"/>
      <c r="U359" s="133"/>
      <c r="V359" s="133"/>
      <c r="W359" s="133"/>
      <c r="X359" s="133"/>
      <c r="Y359" s="133"/>
      <c r="Z359" s="133"/>
      <c r="AA359" s="133"/>
      <c r="AB359" s="133"/>
      <c r="AC359" s="133"/>
      <c r="AD359" s="133"/>
      <c r="AE359" s="133"/>
      <c r="AF359" s="133"/>
      <c r="AG359" s="133"/>
      <c r="AH359" s="133"/>
      <c r="AI359" s="133"/>
      <c r="AJ359" s="133"/>
      <c r="AK359" s="133"/>
      <c r="AL359" s="133"/>
      <c r="AM359" s="133"/>
      <c r="AN359" s="133"/>
      <c r="AO359" s="133"/>
      <c r="AP359" s="133"/>
      <c r="AQ359" s="133"/>
      <c r="AR359" s="133"/>
      <c r="AS359" s="133"/>
      <c r="AT359" s="133"/>
      <c r="AU359" s="133"/>
      <c r="AV359" s="132" t="s">
        <v>1153</v>
      </c>
      <c r="AW359" s="133"/>
      <c r="AX359" s="134">
        <f>'Stavební rozpočet'!F360</f>
        <v>13</v>
      </c>
      <c r="AY359" s="135"/>
      <c r="AZ359" s="135"/>
      <c r="BA359" s="135"/>
      <c r="BB359" s="135"/>
      <c r="BC359" s="134">
        <f>'Stavební rozpočet'!G360</f>
        <v>0</v>
      </c>
      <c r="BD359" s="135"/>
      <c r="BE359" s="135"/>
      <c r="BF359" s="135"/>
      <c r="BG359" s="135"/>
      <c r="BH359" s="135"/>
      <c r="BI359" s="135"/>
      <c r="BJ359" s="135"/>
      <c r="BK359" s="134">
        <f>IR359*AX359+IS359*AX359</f>
        <v>0</v>
      </c>
      <c r="BL359" s="135"/>
      <c r="BM359" s="135"/>
      <c r="BN359" s="135"/>
      <c r="BO359" s="135"/>
      <c r="BP359" s="135"/>
      <c r="BQ359" s="135"/>
      <c r="BR359" s="135"/>
      <c r="BS359" s="132" t="s">
        <v>1177</v>
      </c>
      <c r="BT359" s="133"/>
      <c r="BU359" s="133"/>
      <c r="BV359" s="133"/>
      <c r="BW359" s="133"/>
      <c r="BX359" s="133"/>
      <c r="IR359" s="46">
        <f>BC359*0.0509433962264151</f>
        <v>0</v>
      </c>
      <c r="IS359" s="46">
        <f>BC359*(1-0.0509433962264151)</f>
        <v>0</v>
      </c>
    </row>
    <row r="360" spans="1:76" ht="12.75">
      <c r="A360" s="132"/>
      <c r="B360" s="133"/>
      <c r="C360" s="133"/>
      <c r="D360" s="133"/>
      <c r="E360" s="133"/>
      <c r="F360" s="133"/>
      <c r="G360" s="133"/>
      <c r="H360" s="133"/>
      <c r="I360" s="133"/>
      <c r="J360" s="133"/>
      <c r="K360" s="133"/>
      <c r="L360" s="141" t="s">
        <v>1054</v>
      </c>
      <c r="M360" s="142"/>
      <c r="N360" s="142"/>
      <c r="O360" s="142"/>
      <c r="P360" s="142"/>
      <c r="Q360" s="142"/>
      <c r="R360" s="142"/>
      <c r="S360" s="142"/>
      <c r="T360" s="142"/>
      <c r="U360" s="142"/>
      <c r="V360" s="142"/>
      <c r="W360" s="142"/>
      <c r="X360" s="142"/>
      <c r="Y360" s="142"/>
      <c r="Z360" s="142"/>
      <c r="AA360" s="142"/>
      <c r="AB360" s="142"/>
      <c r="AC360" s="142"/>
      <c r="AD360" s="142"/>
      <c r="AE360" s="142"/>
      <c r="AF360" s="142"/>
      <c r="AG360" s="142"/>
      <c r="AH360" s="142"/>
      <c r="AI360" s="142"/>
      <c r="AJ360" s="142"/>
      <c r="AK360" s="142"/>
      <c r="AL360" s="142"/>
      <c r="AM360" s="142"/>
      <c r="AN360" s="142"/>
      <c r="AO360" s="142"/>
      <c r="AP360" s="142"/>
      <c r="AQ360" s="142"/>
      <c r="AR360" s="142"/>
      <c r="AS360" s="142"/>
      <c r="AT360" s="142"/>
      <c r="AU360" s="142"/>
      <c r="AV360" s="132"/>
      <c r="AW360" s="133"/>
      <c r="AX360" s="133"/>
      <c r="AY360" s="133"/>
      <c r="AZ360" s="133"/>
      <c r="BA360" s="133"/>
      <c r="BB360" s="133"/>
      <c r="BC360" s="133"/>
      <c r="BD360" s="133"/>
      <c r="BE360" s="133"/>
      <c r="BF360" s="133"/>
      <c r="BG360" s="133"/>
      <c r="BH360" s="133"/>
      <c r="BI360" s="133"/>
      <c r="BJ360" s="133"/>
      <c r="BK360" s="133"/>
      <c r="BL360" s="133"/>
      <c r="BM360" s="133"/>
      <c r="BN360" s="133"/>
      <c r="BO360" s="133"/>
      <c r="BP360" s="133"/>
      <c r="BQ360" s="133"/>
      <c r="BR360" s="133"/>
      <c r="BS360" s="133"/>
      <c r="BT360" s="133"/>
      <c r="BU360" s="133"/>
      <c r="BV360" s="133"/>
      <c r="BW360" s="133"/>
      <c r="BX360" s="133"/>
    </row>
    <row r="361" spans="1:253" ht="12.75">
      <c r="A361" s="132" t="s">
        <v>303</v>
      </c>
      <c r="B361" s="133"/>
      <c r="C361" s="132"/>
      <c r="D361" s="133"/>
      <c r="E361" s="133"/>
      <c r="F361" s="132" t="s">
        <v>660</v>
      </c>
      <c r="G361" s="133"/>
      <c r="H361" s="133"/>
      <c r="I361" s="133"/>
      <c r="J361" s="133"/>
      <c r="K361" s="133"/>
      <c r="L361" s="132" t="s">
        <v>1055</v>
      </c>
      <c r="M361" s="133"/>
      <c r="N361" s="133"/>
      <c r="O361" s="133"/>
      <c r="P361" s="133"/>
      <c r="Q361" s="133"/>
      <c r="R361" s="133"/>
      <c r="S361" s="133"/>
      <c r="T361" s="133"/>
      <c r="U361" s="133"/>
      <c r="V361" s="133"/>
      <c r="W361" s="133"/>
      <c r="X361" s="133"/>
      <c r="Y361" s="133"/>
      <c r="Z361" s="133"/>
      <c r="AA361" s="133"/>
      <c r="AB361" s="133"/>
      <c r="AC361" s="133"/>
      <c r="AD361" s="133"/>
      <c r="AE361" s="133"/>
      <c r="AF361" s="133"/>
      <c r="AG361" s="133"/>
      <c r="AH361" s="133"/>
      <c r="AI361" s="133"/>
      <c r="AJ361" s="133"/>
      <c r="AK361" s="133"/>
      <c r="AL361" s="133"/>
      <c r="AM361" s="133"/>
      <c r="AN361" s="133"/>
      <c r="AO361" s="133"/>
      <c r="AP361" s="133"/>
      <c r="AQ361" s="133"/>
      <c r="AR361" s="133"/>
      <c r="AS361" s="133"/>
      <c r="AT361" s="133"/>
      <c r="AU361" s="133"/>
      <c r="AV361" s="132" t="s">
        <v>1154</v>
      </c>
      <c r="AW361" s="133"/>
      <c r="AX361" s="134">
        <f>'Stavební rozpočet'!F362</f>
        <v>76</v>
      </c>
      <c r="AY361" s="135"/>
      <c r="AZ361" s="135"/>
      <c r="BA361" s="135"/>
      <c r="BB361" s="135"/>
      <c r="BC361" s="134">
        <f>'Stavební rozpočet'!G362</f>
        <v>0</v>
      </c>
      <c r="BD361" s="135"/>
      <c r="BE361" s="135"/>
      <c r="BF361" s="135"/>
      <c r="BG361" s="135"/>
      <c r="BH361" s="135"/>
      <c r="BI361" s="135"/>
      <c r="BJ361" s="135"/>
      <c r="BK361" s="134">
        <f>IR361*AX361+IS361*AX361</f>
        <v>0</v>
      </c>
      <c r="BL361" s="135"/>
      <c r="BM361" s="135"/>
      <c r="BN361" s="135"/>
      <c r="BO361" s="135"/>
      <c r="BP361" s="135"/>
      <c r="BQ361" s="135"/>
      <c r="BR361" s="135"/>
      <c r="BS361" s="132" t="s">
        <v>1177</v>
      </c>
      <c r="BT361" s="133"/>
      <c r="BU361" s="133"/>
      <c r="BV361" s="133"/>
      <c r="BW361" s="133"/>
      <c r="BX361" s="133"/>
      <c r="IR361" s="46">
        <f>BC361*0.74</f>
        <v>0</v>
      </c>
      <c r="IS361" s="46">
        <f>BC361*(1-0.74)</f>
        <v>0</v>
      </c>
    </row>
    <row r="362" spans="1:76" ht="12.75">
      <c r="A362" s="132"/>
      <c r="B362" s="133"/>
      <c r="C362" s="133"/>
      <c r="D362" s="133"/>
      <c r="E362" s="133"/>
      <c r="F362" s="133"/>
      <c r="G362" s="133"/>
      <c r="H362" s="133"/>
      <c r="I362" s="133"/>
      <c r="J362" s="133"/>
      <c r="K362" s="133"/>
      <c r="L362" s="141" t="s">
        <v>1056</v>
      </c>
      <c r="M362" s="142"/>
      <c r="N362" s="142"/>
      <c r="O362" s="142"/>
      <c r="P362" s="142"/>
      <c r="Q362" s="142"/>
      <c r="R362" s="142"/>
      <c r="S362" s="142"/>
      <c r="T362" s="142"/>
      <c r="U362" s="142"/>
      <c r="V362" s="142"/>
      <c r="W362" s="142"/>
      <c r="X362" s="142"/>
      <c r="Y362" s="142"/>
      <c r="Z362" s="142"/>
      <c r="AA362" s="142"/>
      <c r="AB362" s="142"/>
      <c r="AC362" s="142"/>
      <c r="AD362" s="142"/>
      <c r="AE362" s="142"/>
      <c r="AF362" s="142"/>
      <c r="AG362" s="142"/>
      <c r="AH362" s="142"/>
      <c r="AI362" s="142"/>
      <c r="AJ362" s="142"/>
      <c r="AK362" s="142"/>
      <c r="AL362" s="142"/>
      <c r="AM362" s="142"/>
      <c r="AN362" s="142"/>
      <c r="AO362" s="142"/>
      <c r="AP362" s="142"/>
      <c r="AQ362" s="142"/>
      <c r="AR362" s="142"/>
      <c r="AS362" s="142"/>
      <c r="AT362" s="142"/>
      <c r="AU362" s="142"/>
      <c r="AV362" s="132"/>
      <c r="AW362" s="133"/>
      <c r="AX362" s="133"/>
      <c r="AY362" s="133"/>
      <c r="AZ362" s="133"/>
      <c r="BA362" s="133"/>
      <c r="BB362" s="133"/>
      <c r="BC362" s="133"/>
      <c r="BD362" s="133"/>
      <c r="BE362" s="133"/>
      <c r="BF362" s="133"/>
      <c r="BG362" s="133"/>
      <c r="BH362" s="133"/>
      <c r="BI362" s="133"/>
      <c r="BJ362" s="133"/>
      <c r="BK362" s="133"/>
      <c r="BL362" s="133"/>
      <c r="BM362" s="133"/>
      <c r="BN362" s="133"/>
      <c r="BO362" s="133"/>
      <c r="BP362" s="133"/>
      <c r="BQ362" s="133"/>
      <c r="BR362" s="133"/>
      <c r="BS362" s="133"/>
      <c r="BT362" s="133"/>
      <c r="BU362" s="133"/>
      <c r="BV362" s="133"/>
      <c r="BW362" s="133"/>
      <c r="BX362" s="133"/>
    </row>
    <row r="363" spans="1:253" ht="12.75">
      <c r="A363" s="132" t="s">
        <v>304</v>
      </c>
      <c r="B363" s="133"/>
      <c r="C363" s="132"/>
      <c r="D363" s="133"/>
      <c r="E363" s="133"/>
      <c r="F363" s="132" t="s">
        <v>661</v>
      </c>
      <c r="G363" s="133"/>
      <c r="H363" s="133"/>
      <c r="I363" s="133"/>
      <c r="J363" s="133"/>
      <c r="K363" s="133"/>
      <c r="L363" s="132" t="s">
        <v>1057</v>
      </c>
      <c r="M363" s="133"/>
      <c r="N363" s="133"/>
      <c r="O363" s="133"/>
      <c r="P363" s="133"/>
      <c r="Q363" s="133"/>
      <c r="R363" s="133"/>
      <c r="S363" s="133"/>
      <c r="T363" s="133"/>
      <c r="U363" s="133"/>
      <c r="V363" s="133"/>
      <c r="W363" s="133"/>
      <c r="X363" s="133"/>
      <c r="Y363" s="133"/>
      <c r="Z363" s="133"/>
      <c r="AA363" s="133"/>
      <c r="AB363" s="133"/>
      <c r="AC363" s="133"/>
      <c r="AD363" s="133"/>
      <c r="AE363" s="133"/>
      <c r="AF363" s="133"/>
      <c r="AG363" s="133"/>
      <c r="AH363" s="133"/>
      <c r="AI363" s="133"/>
      <c r="AJ363" s="133"/>
      <c r="AK363" s="133"/>
      <c r="AL363" s="133"/>
      <c r="AM363" s="133"/>
      <c r="AN363" s="133"/>
      <c r="AO363" s="133"/>
      <c r="AP363" s="133"/>
      <c r="AQ363" s="133"/>
      <c r="AR363" s="133"/>
      <c r="AS363" s="133"/>
      <c r="AT363" s="133"/>
      <c r="AU363" s="133"/>
      <c r="AV363" s="132" t="s">
        <v>1154</v>
      </c>
      <c r="AW363" s="133"/>
      <c r="AX363" s="134">
        <f>'Stavební rozpočet'!F364</f>
        <v>324.3</v>
      </c>
      <c r="AY363" s="135"/>
      <c r="AZ363" s="135"/>
      <c r="BA363" s="135"/>
      <c r="BB363" s="135"/>
      <c r="BC363" s="134">
        <f>'Stavební rozpočet'!G364</f>
        <v>0</v>
      </c>
      <c r="BD363" s="135"/>
      <c r="BE363" s="135"/>
      <c r="BF363" s="135"/>
      <c r="BG363" s="135"/>
      <c r="BH363" s="135"/>
      <c r="BI363" s="135"/>
      <c r="BJ363" s="135"/>
      <c r="BK363" s="134">
        <f aca="true" t="shared" si="24" ref="BK363:BK374">IR363*AX363+IS363*AX363</f>
        <v>0</v>
      </c>
      <c r="BL363" s="135"/>
      <c r="BM363" s="135"/>
      <c r="BN363" s="135"/>
      <c r="BO363" s="135"/>
      <c r="BP363" s="135"/>
      <c r="BQ363" s="135"/>
      <c r="BR363" s="135"/>
      <c r="BS363" s="132" t="s">
        <v>1177</v>
      </c>
      <c r="BT363" s="133"/>
      <c r="BU363" s="133"/>
      <c r="BV363" s="133"/>
      <c r="BW363" s="133"/>
      <c r="BX363" s="133"/>
      <c r="IR363" s="46">
        <f>BC363*0.0312592592592593</f>
        <v>0</v>
      </c>
      <c r="IS363" s="46">
        <f>BC363*(1-0.0312592592592593)</f>
        <v>0</v>
      </c>
    </row>
    <row r="364" spans="1:253" ht="12.75">
      <c r="A364" s="143" t="s">
        <v>305</v>
      </c>
      <c r="B364" s="144"/>
      <c r="C364" s="143"/>
      <c r="D364" s="144"/>
      <c r="E364" s="144"/>
      <c r="F364" s="143" t="s">
        <v>662</v>
      </c>
      <c r="G364" s="144"/>
      <c r="H364" s="144"/>
      <c r="I364" s="144"/>
      <c r="J364" s="144"/>
      <c r="K364" s="144"/>
      <c r="L364" s="143" t="s">
        <v>1058</v>
      </c>
      <c r="M364" s="144"/>
      <c r="N364" s="144"/>
      <c r="O364" s="144"/>
      <c r="P364" s="144"/>
      <c r="Q364" s="144"/>
      <c r="R364" s="144"/>
      <c r="S364" s="144"/>
      <c r="T364" s="144"/>
      <c r="U364" s="144"/>
      <c r="V364" s="144"/>
      <c r="W364" s="144"/>
      <c r="X364" s="144"/>
      <c r="Y364" s="144"/>
      <c r="Z364" s="144"/>
      <c r="AA364" s="144"/>
      <c r="AB364" s="144"/>
      <c r="AC364" s="144"/>
      <c r="AD364" s="144"/>
      <c r="AE364" s="144"/>
      <c r="AF364" s="144"/>
      <c r="AG364" s="144"/>
      <c r="AH364" s="144"/>
      <c r="AI364" s="144"/>
      <c r="AJ364" s="144"/>
      <c r="AK364" s="144"/>
      <c r="AL364" s="144"/>
      <c r="AM364" s="144"/>
      <c r="AN364" s="144"/>
      <c r="AO364" s="144"/>
      <c r="AP364" s="144"/>
      <c r="AQ364" s="144"/>
      <c r="AR364" s="144"/>
      <c r="AS364" s="144"/>
      <c r="AT364" s="144"/>
      <c r="AU364" s="144"/>
      <c r="AV364" s="143" t="s">
        <v>1150</v>
      </c>
      <c r="AW364" s="144"/>
      <c r="AX364" s="145">
        <f>'Stavební rozpočet'!F365</f>
        <v>0.58733</v>
      </c>
      <c r="AY364" s="146"/>
      <c r="AZ364" s="146"/>
      <c r="BA364" s="146"/>
      <c r="BB364" s="146"/>
      <c r="BC364" s="145">
        <f>'Stavební rozpočet'!G365</f>
        <v>0</v>
      </c>
      <c r="BD364" s="146"/>
      <c r="BE364" s="146"/>
      <c r="BF364" s="146"/>
      <c r="BG364" s="146"/>
      <c r="BH364" s="146"/>
      <c r="BI364" s="146"/>
      <c r="BJ364" s="146"/>
      <c r="BK364" s="145">
        <f t="shared" si="24"/>
        <v>0</v>
      </c>
      <c r="BL364" s="146"/>
      <c r="BM364" s="146"/>
      <c r="BN364" s="146"/>
      <c r="BO364" s="146"/>
      <c r="BP364" s="146"/>
      <c r="BQ364" s="146"/>
      <c r="BR364" s="146"/>
      <c r="BS364" s="143" t="s">
        <v>1177</v>
      </c>
      <c r="BT364" s="144"/>
      <c r="BU364" s="144"/>
      <c r="BV364" s="144"/>
      <c r="BW364" s="144"/>
      <c r="BX364" s="144"/>
      <c r="IR364" s="47">
        <f>BC364*1</f>
        <v>0</v>
      </c>
      <c r="IS364" s="47">
        <f>BC364*(1-1)</f>
        <v>0</v>
      </c>
    </row>
    <row r="365" spans="1:253" ht="12.75">
      <c r="A365" s="143" t="s">
        <v>306</v>
      </c>
      <c r="B365" s="144"/>
      <c r="C365" s="143"/>
      <c r="D365" s="144"/>
      <c r="E365" s="144"/>
      <c r="F365" s="143" t="s">
        <v>662</v>
      </c>
      <c r="G365" s="144"/>
      <c r="H365" s="144"/>
      <c r="I365" s="144"/>
      <c r="J365" s="144"/>
      <c r="K365" s="144"/>
      <c r="L365" s="143" t="s">
        <v>1059</v>
      </c>
      <c r="M365" s="144"/>
      <c r="N365" s="144"/>
      <c r="O365" s="144"/>
      <c r="P365" s="144"/>
      <c r="Q365" s="144"/>
      <c r="R365" s="144"/>
      <c r="S365" s="144"/>
      <c r="T365" s="144"/>
      <c r="U365" s="144"/>
      <c r="V365" s="144"/>
      <c r="W365" s="144"/>
      <c r="X365" s="144"/>
      <c r="Y365" s="144"/>
      <c r="Z365" s="144"/>
      <c r="AA365" s="144"/>
      <c r="AB365" s="144"/>
      <c r="AC365" s="144"/>
      <c r="AD365" s="144"/>
      <c r="AE365" s="144"/>
      <c r="AF365" s="144"/>
      <c r="AG365" s="144"/>
      <c r="AH365" s="144"/>
      <c r="AI365" s="144"/>
      <c r="AJ365" s="144"/>
      <c r="AK365" s="144"/>
      <c r="AL365" s="144"/>
      <c r="AM365" s="144"/>
      <c r="AN365" s="144"/>
      <c r="AO365" s="144"/>
      <c r="AP365" s="144"/>
      <c r="AQ365" s="144"/>
      <c r="AR365" s="144"/>
      <c r="AS365" s="144"/>
      <c r="AT365" s="144"/>
      <c r="AU365" s="144"/>
      <c r="AV365" s="143" t="s">
        <v>1150</v>
      </c>
      <c r="AW365" s="144"/>
      <c r="AX365" s="145">
        <f>'Stavební rozpočet'!F366</f>
        <v>0.0504</v>
      </c>
      <c r="AY365" s="146"/>
      <c r="AZ365" s="146"/>
      <c r="BA365" s="146"/>
      <c r="BB365" s="146"/>
      <c r="BC365" s="145">
        <f>'Stavební rozpočet'!G366</f>
        <v>0</v>
      </c>
      <c r="BD365" s="146"/>
      <c r="BE365" s="146"/>
      <c r="BF365" s="146"/>
      <c r="BG365" s="146"/>
      <c r="BH365" s="146"/>
      <c r="BI365" s="146"/>
      <c r="BJ365" s="146"/>
      <c r="BK365" s="145">
        <f t="shared" si="24"/>
        <v>0</v>
      </c>
      <c r="BL365" s="146"/>
      <c r="BM365" s="146"/>
      <c r="BN365" s="146"/>
      <c r="BO365" s="146"/>
      <c r="BP365" s="146"/>
      <c r="BQ365" s="146"/>
      <c r="BR365" s="146"/>
      <c r="BS365" s="143" t="s">
        <v>1177</v>
      </c>
      <c r="BT365" s="144"/>
      <c r="BU365" s="144"/>
      <c r="BV365" s="144"/>
      <c r="BW365" s="144"/>
      <c r="BX365" s="144"/>
      <c r="IR365" s="47">
        <f>BC365*1</f>
        <v>0</v>
      </c>
      <c r="IS365" s="47">
        <f>BC365*(1-1)</f>
        <v>0</v>
      </c>
    </row>
    <row r="366" spans="1:253" ht="12.75">
      <c r="A366" s="143" t="s">
        <v>307</v>
      </c>
      <c r="B366" s="144"/>
      <c r="C366" s="143"/>
      <c r="D366" s="144"/>
      <c r="E366" s="144"/>
      <c r="F366" s="143" t="s">
        <v>663</v>
      </c>
      <c r="G366" s="144"/>
      <c r="H366" s="144"/>
      <c r="I366" s="144"/>
      <c r="J366" s="144"/>
      <c r="K366" s="144"/>
      <c r="L366" s="143" t="s">
        <v>1060</v>
      </c>
      <c r="M366" s="144"/>
      <c r="N366" s="144"/>
      <c r="O366" s="144"/>
      <c r="P366" s="144"/>
      <c r="Q366" s="144"/>
      <c r="R366" s="144"/>
      <c r="S366" s="144"/>
      <c r="T366" s="144"/>
      <c r="U366" s="144"/>
      <c r="V366" s="144"/>
      <c r="W366" s="144"/>
      <c r="X366" s="144"/>
      <c r="Y366" s="144"/>
      <c r="Z366" s="144"/>
      <c r="AA366" s="144"/>
      <c r="AB366" s="144"/>
      <c r="AC366" s="144"/>
      <c r="AD366" s="144"/>
      <c r="AE366" s="144"/>
      <c r="AF366" s="144"/>
      <c r="AG366" s="144"/>
      <c r="AH366" s="144"/>
      <c r="AI366" s="144"/>
      <c r="AJ366" s="144"/>
      <c r="AK366" s="144"/>
      <c r="AL366" s="144"/>
      <c r="AM366" s="144"/>
      <c r="AN366" s="144"/>
      <c r="AO366" s="144"/>
      <c r="AP366" s="144"/>
      <c r="AQ366" s="144"/>
      <c r="AR366" s="144"/>
      <c r="AS366" s="144"/>
      <c r="AT366" s="144"/>
      <c r="AU366" s="144"/>
      <c r="AV366" s="143" t="s">
        <v>1150</v>
      </c>
      <c r="AW366" s="144"/>
      <c r="AX366" s="145">
        <f>'Stavební rozpočet'!F367</f>
        <v>2.15611</v>
      </c>
      <c r="AY366" s="146"/>
      <c r="AZ366" s="146"/>
      <c r="BA366" s="146"/>
      <c r="BB366" s="146"/>
      <c r="BC366" s="145">
        <f>'Stavební rozpočet'!G367</f>
        <v>0</v>
      </c>
      <c r="BD366" s="146"/>
      <c r="BE366" s="146"/>
      <c r="BF366" s="146"/>
      <c r="BG366" s="146"/>
      <c r="BH366" s="146"/>
      <c r="BI366" s="146"/>
      <c r="BJ366" s="146"/>
      <c r="BK366" s="145">
        <f t="shared" si="24"/>
        <v>0</v>
      </c>
      <c r="BL366" s="146"/>
      <c r="BM366" s="146"/>
      <c r="BN366" s="146"/>
      <c r="BO366" s="146"/>
      <c r="BP366" s="146"/>
      <c r="BQ366" s="146"/>
      <c r="BR366" s="146"/>
      <c r="BS366" s="143" t="s">
        <v>1177</v>
      </c>
      <c r="BT366" s="144"/>
      <c r="BU366" s="144"/>
      <c r="BV366" s="144"/>
      <c r="BW366" s="144"/>
      <c r="BX366" s="144"/>
      <c r="IR366" s="47">
        <f>BC366*1</f>
        <v>0</v>
      </c>
      <c r="IS366" s="47">
        <f>BC366*(1-1)</f>
        <v>0</v>
      </c>
    </row>
    <row r="367" spans="1:253" ht="12.75">
      <c r="A367" s="143" t="s">
        <v>308</v>
      </c>
      <c r="B367" s="144"/>
      <c r="C367" s="143"/>
      <c r="D367" s="144"/>
      <c r="E367" s="144"/>
      <c r="F367" s="143" t="s">
        <v>664</v>
      </c>
      <c r="G367" s="144"/>
      <c r="H367" s="144"/>
      <c r="I367" s="144"/>
      <c r="J367" s="144"/>
      <c r="K367" s="144"/>
      <c r="L367" s="143" t="s">
        <v>1061</v>
      </c>
      <c r="M367" s="144"/>
      <c r="N367" s="144"/>
      <c r="O367" s="144"/>
      <c r="P367" s="144"/>
      <c r="Q367" s="144"/>
      <c r="R367" s="144"/>
      <c r="S367" s="144"/>
      <c r="T367" s="144"/>
      <c r="U367" s="144"/>
      <c r="V367" s="144"/>
      <c r="W367" s="144"/>
      <c r="X367" s="144"/>
      <c r="Y367" s="144"/>
      <c r="Z367" s="144"/>
      <c r="AA367" s="144"/>
      <c r="AB367" s="144"/>
      <c r="AC367" s="144"/>
      <c r="AD367" s="144"/>
      <c r="AE367" s="144"/>
      <c r="AF367" s="144"/>
      <c r="AG367" s="144"/>
      <c r="AH367" s="144"/>
      <c r="AI367" s="144"/>
      <c r="AJ367" s="144"/>
      <c r="AK367" s="144"/>
      <c r="AL367" s="144"/>
      <c r="AM367" s="144"/>
      <c r="AN367" s="144"/>
      <c r="AO367" s="144"/>
      <c r="AP367" s="144"/>
      <c r="AQ367" s="144"/>
      <c r="AR367" s="144"/>
      <c r="AS367" s="144"/>
      <c r="AT367" s="144"/>
      <c r="AU367" s="144"/>
      <c r="AV367" s="143" t="s">
        <v>1150</v>
      </c>
      <c r="AW367" s="144"/>
      <c r="AX367" s="145">
        <f>'Stavební rozpočet'!F368</f>
        <v>4.52576</v>
      </c>
      <c r="AY367" s="146"/>
      <c r="AZ367" s="146"/>
      <c r="BA367" s="146"/>
      <c r="BB367" s="146"/>
      <c r="BC367" s="145">
        <f>'Stavební rozpočet'!G368</f>
        <v>0</v>
      </c>
      <c r="BD367" s="146"/>
      <c r="BE367" s="146"/>
      <c r="BF367" s="146"/>
      <c r="BG367" s="146"/>
      <c r="BH367" s="146"/>
      <c r="BI367" s="146"/>
      <c r="BJ367" s="146"/>
      <c r="BK367" s="145">
        <f t="shared" si="24"/>
        <v>0</v>
      </c>
      <c r="BL367" s="146"/>
      <c r="BM367" s="146"/>
      <c r="BN367" s="146"/>
      <c r="BO367" s="146"/>
      <c r="BP367" s="146"/>
      <c r="BQ367" s="146"/>
      <c r="BR367" s="146"/>
      <c r="BS367" s="143" t="s">
        <v>1177</v>
      </c>
      <c r="BT367" s="144"/>
      <c r="BU367" s="144"/>
      <c r="BV367" s="144"/>
      <c r="BW367" s="144"/>
      <c r="BX367" s="144"/>
      <c r="IR367" s="47">
        <f>BC367*1</f>
        <v>0</v>
      </c>
      <c r="IS367" s="47">
        <f>BC367*(1-1)</f>
        <v>0</v>
      </c>
    </row>
    <row r="368" spans="1:253" ht="12.75">
      <c r="A368" s="143" t="s">
        <v>309</v>
      </c>
      <c r="B368" s="144"/>
      <c r="C368" s="143"/>
      <c r="D368" s="144"/>
      <c r="E368" s="144"/>
      <c r="F368" s="143" t="s">
        <v>665</v>
      </c>
      <c r="G368" s="144"/>
      <c r="H368" s="144"/>
      <c r="I368" s="144"/>
      <c r="J368" s="144"/>
      <c r="K368" s="144"/>
      <c r="L368" s="143" t="s">
        <v>1062</v>
      </c>
      <c r="M368" s="144"/>
      <c r="N368" s="144"/>
      <c r="O368" s="144"/>
      <c r="P368" s="144"/>
      <c r="Q368" s="144"/>
      <c r="R368" s="144"/>
      <c r="S368" s="144"/>
      <c r="T368" s="144"/>
      <c r="U368" s="144"/>
      <c r="V368" s="144"/>
      <c r="W368" s="144"/>
      <c r="X368" s="144"/>
      <c r="Y368" s="144"/>
      <c r="Z368" s="144"/>
      <c r="AA368" s="144"/>
      <c r="AB368" s="144"/>
      <c r="AC368" s="144"/>
      <c r="AD368" s="144"/>
      <c r="AE368" s="144"/>
      <c r="AF368" s="144"/>
      <c r="AG368" s="144"/>
      <c r="AH368" s="144"/>
      <c r="AI368" s="144"/>
      <c r="AJ368" s="144"/>
      <c r="AK368" s="144"/>
      <c r="AL368" s="144"/>
      <c r="AM368" s="144"/>
      <c r="AN368" s="144"/>
      <c r="AO368" s="144"/>
      <c r="AP368" s="144"/>
      <c r="AQ368" s="144"/>
      <c r="AR368" s="144"/>
      <c r="AS368" s="144"/>
      <c r="AT368" s="144"/>
      <c r="AU368" s="144"/>
      <c r="AV368" s="143" t="s">
        <v>1150</v>
      </c>
      <c r="AW368" s="144"/>
      <c r="AX368" s="145">
        <f>'Stavební rozpočet'!F369</f>
        <v>0.99627</v>
      </c>
      <c r="AY368" s="146"/>
      <c r="AZ368" s="146"/>
      <c r="BA368" s="146"/>
      <c r="BB368" s="146"/>
      <c r="BC368" s="145">
        <f>'Stavební rozpočet'!G369</f>
        <v>0</v>
      </c>
      <c r="BD368" s="146"/>
      <c r="BE368" s="146"/>
      <c r="BF368" s="146"/>
      <c r="BG368" s="146"/>
      <c r="BH368" s="146"/>
      <c r="BI368" s="146"/>
      <c r="BJ368" s="146"/>
      <c r="BK368" s="145">
        <f t="shared" si="24"/>
        <v>0</v>
      </c>
      <c r="BL368" s="146"/>
      <c r="BM368" s="146"/>
      <c r="BN368" s="146"/>
      <c r="BO368" s="146"/>
      <c r="BP368" s="146"/>
      <c r="BQ368" s="146"/>
      <c r="BR368" s="146"/>
      <c r="BS368" s="143" t="s">
        <v>1177</v>
      </c>
      <c r="BT368" s="144"/>
      <c r="BU368" s="144"/>
      <c r="BV368" s="144"/>
      <c r="BW368" s="144"/>
      <c r="BX368" s="144"/>
      <c r="IR368" s="47">
        <f>BC368*1</f>
        <v>0</v>
      </c>
      <c r="IS368" s="47">
        <f>BC368*(1-1)</f>
        <v>0</v>
      </c>
    </row>
    <row r="369" spans="1:253" ht="12.75">
      <c r="A369" s="132" t="s">
        <v>310</v>
      </c>
      <c r="B369" s="133"/>
      <c r="C369" s="132"/>
      <c r="D369" s="133"/>
      <c r="E369" s="133"/>
      <c r="F369" s="132" t="s">
        <v>666</v>
      </c>
      <c r="G369" s="133"/>
      <c r="H369" s="133"/>
      <c r="I369" s="133"/>
      <c r="J369" s="133"/>
      <c r="K369" s="133"/>
      <c r="L369" s="132" t="s">
        <v>1063</v>
      </c>
      <c r="M369" s="133"/>
      <c r="N369" s="133"/>
      <c r="O369" s="133"/>
      <c r="P369" s="133"/>
      <c r="Q369" s="133"/>
      <c r="R369" s="133"/>
      <c r="S369" s="133"/>
      <c r="T369" s="133"/>
      <c r="U369" s="133"/>
      <c r="V369" s="133"/>
      <c r="W369" s="133"/>
      <c r="X369" s="133"/>
      <c r="Y369" s="133"/>
      <c r="Z369" s="133"/>
      <c r="AA369" s="133"/>
      <c r="AB369" s="133"/>
      <c r="AC369" s="133"/>
      <c r="AD369" s="133"/>
      <c r="AE369" s="133"/>
      <c r="AF369" s="133"/>
      <c r="AG369" s="133"/>
      <c r="AH369" s="133"/>
      <c r="AI369" s="133"/>
      <c r="AJ369" s="133"/>
      <c r="AK369" s="133"/>
      <c r="AL369" s="133"/>
      <c r="AM369" s="133"/>
      <c r="AN369" s="133"/>
      <c r="AO369" s="133"/>
      <c r="AP369" s="133"/>
      <c r="AQ369" s="133"/>
      <c r="AR369" s="133"/>
      <c r="AS369" s="133"/>
      <c r="AT369" s="133"/>
      <c r="AU369" s="133"/>
      <c r="AV369" s="132" t="s">
        <v>1154</v>
      </c>
      <c r="AW369" s="133"/>
      <c r="AX369" s="134">
        <f>'Stavební rozpočet'!F370</f>
        <v>35</v>
      </c>
      <c r="AY369" s="135"/>
      <c r="AZ369" s="135"/>
      <c r="BA369" s="135"/>
      <c r="BB369" s="135"/>
      <c r="BC369" s="134">
        <f>'Stavební rozpočet'!G370</f>
        <v>0</v>
      </c>
      <c r="BD369" s="135"/>
      <c r="BE369" s="135"/>
      <c r="BF369" s="135"/>
      <c r="BG369" s="135"/>
      <c r="BH369" s="135"/>
      <c r="BI369" s="135"/>
      <c r="BJ369" s="135"/>
      <c r="BK369" s="134">
        <f t="shared" si="24"/>
        <v>0</v>
      </c>
      <c r="BL369" s="135"/>
      <c r="BM369" s="135"/>
      <c r="BN369" s="135"/>
      <c r="BO369" s="135"/>
      <c r="BP369" s="135"/>
      <c r="BQ369" s="135"/>
      <c r="BR369" s="135"/>
      <c r="BS369" s="132" t="s">
        <v>1177</v>
      </c>
      <c r="BT369" s="133"/>
      <c r="BU369" s="133"/>
      <c r="BV369" s="133"/>
      <c r="BW369" s="133"/>
      <c r="BX369" s="133"/>
      <c r="IR369" s="46">
        <f>BC369*0.0234857849196539</f>
        <v>0</v>
      </c>
      <c r="IS369" s="46">
        <f>BC369*(1-0.0234857849196539)</f>
        <v>0</v>
      </c>
    </row>
    <row r="370" spans="1:253" ht="12.75">
      <c r="A370" s="143" t="s">
        <v>311</v>
      </c>
      <c r="B370" s="144"/>
      <c r="C370" s="143"/>
      <c r="D370" s="144"/>
      <c r="E370" s="144"/>
      <c r="F370" s="143" t="s">
        <v>667</v>
      </c>
      <c r="G370" s="144"/>
      <c r="H370" s="144"/>
      <c r="I370" s="144"/>
      <c r="J370" s="144"/>
      <c r="K370" s="144"/>
      <c r="L370" s="143" t="s">
        <v>1064</v>
      </c>
      <c r="M370" s="144"/>
      <c r="N370" s="144"/>
      <c r="O370" s="144"/>
      <c r="P370" s="144"/>
      <c r="Q370" s="144"/>
      <c r="R370" s="144"/>
      <c r="S370" s="144"/>
      <c r="T370" s="144"/>
      <c r="U370" s="144"/>
      <c r="V370" s="144"/>
      <c r="W370" s="144"/>
      <c r="X370" s="144"/>
      <c r="Y370" s="144"/>
      <c r="Z370" s="144"/>
      <c r="AA370" s="144"/>
      <c r="AB370" s="144"/>
      <c r="AC370" s="144"/>
      <c r="AD370" s="144"/>
      <c r="AE370" s="144"/>
      <c r="AF370" s="144"/>
      <c r="AG370" s="144"/>
      <c r="AH370" s="144"/>
      <c r="AI370" s="144"/>
      <c r="AJ370" s="144"/>
      <c r="AK370" s="144"/>
      <c r="AL370" s="144"/>
      <c r="AM370" s="144"/>
      <c r="AN370" s="144"/>
      <c r="AO370" s="144"/>
      <c r="AP370" s="144"/>
      <c r="AQ370" s="144"/>
      <c r="AR370" s="144"/>
      <c r="AS370" s="144"/>
      <c r="AT370" s="144"/>
      <c r="AU370" s="144"/>
      <c r="AV370" s="143" t="s">
        <v>1150</v>
      </c>
      <c r="AW370" s="144"/>
      <c r="AX370" s="145">
        <f>'Stavební rozpočet'!F371</f>
        <v>1.127</v>
      </c>
      <c r="AY370" s="146"/>
      <c r="AZ370" s="146"/>
      <c r="BA370" s="146"/>
      <c r="BB370" s="146"/>
      <c r="BC370" s="145">
        <f>'Stavební rozpočet'!G371</f>
        <v>0</v>
      </c>
      <c r="BD370" s="146"/>
      <c r="BE370" s="146"/>
      <c r="BF370" s="146"/>
      <c r="BG370" s="146"/>
      <c r="BH370" s="146"/>
      <c r="BI370" s="146"/>
      <c r="BJ370" s="146"/>
      <c r="BK370" s="145">
        <f t="shared" si="24"/>
        <v>0</v>
      </c>
      <c r="BL370" s="146"/>
      <c r="BM370" s="146"/>
      <c r="BN370" s="146"/>
      <c r="BO370" s="146"/>
      <c r="BP370" s="146"/>
      <c r="BQ370" s="146"/>
      <c r="BR370" s="146"/>
      <c r="BS370" s="143" t="s">
        <v>1177</v>
      </c>
      <c r="BT370" s="144"/>
      <c r="BU370" s="144"/>
      <c r="BV370" s="144"/>
      <c r="BW370" s="144"/>
      <c r="BX370" s="144"/>
      <c r="IR370" s="47">
        <f>BC370*1</f>
        <v>0</v>
      </c>
      <c r="IS370" s="47">
        <f>BC370*(1-1)</f>
        <v>0</v>
      </c>
    </row>
    <row r="371" spans="1:253" ht="12.75">
      <c r="A371" s="132" t="s">
        <v>312</v>
      </c>
      <c r="B371" s="133"/>
      <c r="C371" s="132"/>
      <c r="D371" s="133"/>
      <c r="E371" s="133"/>
      <c r="F371" s="132" t="s">
        <v>668</v>
      </c>
      <c r="G371" s="133"/>
      <c r="H371" s="133"/>
      <c r="I371" s="133"/>
      <c r="J371" s="133"/>
      <c r="K371" s="133"/>
      <c r="L371" s="132" t="s">
        <v>1065</v>
      </c>
      <c r="M371" s="133"/>
      <c r="N371" s="133"/>
      <c r="O371" s="133"/>
      <c r="P371" s="133"/>
      <c r="Q371" s="133"/>
      <c r="R371" s="133"/>
      <c r="S371" s="133"/>
      <c r="T371" s="133"/>
      <c r="U371" s="133"/>
      <c r="V371" s="133"/>
      <c r="W371" s="133"/>
      <c r="X371" s="133"/>
      <c r="Y371" s="133"/>
      <c r="Z371" s="133"/>
      <c r="AA371" s="133"/>
      <c r="AB371" s="133"/>
      <c r="AC371" s="133"/>
      <c r="AD371" s="133"/>
      <c r="AE371" s="133"/>
      <c r="AF371" s="133"/>
      <c r="AG371" s="133"/>
      <c r="AH371" s="133"/>
      <c r="AI371" s="133"/>
      <c r="AJ371" s="133"/>
      <c r="AK371" s="133"/>
      <c r="AL371" s="133"/>
      <c r="AM371" s="133"/>
      <c r="AN371" s="133"/>
      <c r="AO371" s="133"/>
      <c r="AP371" s="133"/>
      <c r="AQ371" s="133"/>
      <c r="AR371" s="133"/>
      <c r="AS371" s="133"/>
      <c r="AT371" s="133"/>
      <c r="AU371" s="133"/>
      <c r="AV371" s="132" t="s">
        <v>1154</v>
      </c>
      <c r="AW371" s="133"/>
      <c r="AX371" s="134">
        <f>'Stavební rozpočet'!F372</f>
        <v>68.4</v>
      </c>
      <c r="AY371" s="135"/>
      <c r="AZ371" s="135"/>
      <c r="BA371" s="135"/>
      <c r="BB371" s="135"/>
      <c r="BC371" s="134">
        <f>'Stavební rozpočet'!G372</f>
        <v>0</v>
      </c>
      <c r="BD371" s="135"/>
      <c r="BE371" s="135"/>
      <c r="BF371" s="135"/>
      <c r="BG371" s="135"/>
      <c r="BH371" s="135"/>
      <c r="BI371" s="135"/>
      <c r="BJ371" s="135"/>
      <c r="BK371" s="134">
        <f t="shared" si="24"/>
        <v>0</v>
      </c>
      <c r="BL371" s="135"/>
      <c r="BM371" s="135"/>
      <c r="BN371" s="135"/>
      <c r="BO371" s="135"/>
      <c r="BP371" s="135"/>
      <c r="BQ371" s="135"/>
      <c r="BR371" s="135"/>
      <c r="BS371" s="132" t="s">
        <v>1177</v>
      </c>
      <c r="BT371" s="133"/>
      <c r="BU371" s="133"/>
      <c r="BV371" s="133"/>
      <c r="BW371" s="133"/>
      <c r="BX371" s="133"/>
      <c r="IR371" s="46">
        <f>BC371*0.0217085427135678</f>
        <v>0</v>
      </c>
      <c r="IS371" s="46">
        <f>BC371*(1-0.0217085427135678)</f>
        <v>0</v>
      </c>
    </row>
    <row r="372" spans="1:253" ht="12.75">
      <c r="A372" s="143" t="s">
        <v>313</v>
      </c>
      <c r="B372" s="144"/>
      <c r="C372" s="143"/>
      <c r="D372" s="144"/>
      <c r="E372" s="144"/>
      <c r="F372" s="143" t="s">
        <v>669</v>
      </c>
      <c r="G372" s="144"/>
      <c r="H372" s="144"/>
      <c r="I372" s="144"/>
      <c r="J372" s="144"/>
      <c r="K372" s="144"/>
      <c r="L372" s="143" t="s">
        <v>1066</v>
      </c>
      <c r="M372" s="144"/>
      <c r="N372" s="144"/>
      <c r="O372" s="144"/>
      <c r="P372" s="144"/>
      <c r="Q372" s="144"/>
      <c r="R372" s="144"/>
      <c r="S372" s="144"/>
      <c r="T372" s="144"/>
      <c r="U372" s="144"/>
      <c r="V372" s="144"/>
      <c r="W372" s="144"/>
      <c r="X372" s="144"/>
      <c r="Y372" s="144"/>
      <c r="Z372" s="144"/>
      <c r="AA372" s="144"/>
      <c r="AB372" s="144"/>
      <c r="AC372" s="144"/>
      <c r="AD372" s="144"/>
      <c r="AE372" s="144"/>
      <c r="AF372" s="144"/>
      <c r="AG372" s="144"/>
      <c r="AH372" s="144"/>
      <c r="AI372" s="144"/>
      <c r="AJ372" s="144"/>
      <c r="AK372" s="144"/>
      <c r="AL372" s="144"/>
      <c r="AM372" s="144"/>
      <c r="AN372" s="144"/>
      <c r="AO372" s="144"/>
      <c r="AP372" s="144"/>
      <c r="AQ372" s="144"/>
      <c r="AR372" s="144"/>
      <c r="AS372" s="144"/>
      <c r="AT372" s="144"/>
      <c r="AU372" s="144"/>
      <c r="AV372" s="143" t="s">
        <v>1150</v>
      </c>
      <c r="AW372" s="144"/>
      <c r="AX372" s="145">
        <f>'Stavební rozpočet'!F373</f>
        <v>0.77039</v>
      </c>
      <c r="AY372" s="146"/>
      <c r="AZ372" s="146"/>
      <c r="BA372" s="146"/>
      <c r="BB372" s="146"/>
      <c r="BC372" s="145">
        <f>'Stavební rozpočet'!G373</f>
        <v>0</v>
      </c>
      <c r="BD372" s="146"/>
      <c r="BE372" s="146"/>
      <c r="BF372" s="146"/>
      <c r="BG372" s="146"/>
      <c r="BH372" s="146"/>
      <c r="BI372" s="146"/>
      <c r="BJ372" s="146"/>
      <c r="BK372" s="145">
        <f t="shared" si="24"/>
        <v>0</v>
      </c>
      <c r="BL372" s="146"/>
      <c r="BM372" s="146"/>
      <c r="BN372" s="146"/>
      <c r="BO372" s="146"/>
      <c r="BP372" s="146"/>
      <c r="BQ372" s="146"/>
      <c r="BR372" s="146"/>
      <c r="BS372" s="143" t="s">
        <v>1177</v>
      </c>
      <c r="BT372" s="144"/>
      <c r="BU372" s="144"/>
      <c r="BV372" s="144"/>
      <c r="BW372" s="144"/>
      <c r="BX372" s="144"/>
      <c r="IR372" s="47">
        <f>BC372*1</f>
        <v>0</v>
      </c>
      <c r="IS372" s="47">
        <f>BC372*(1-1)</f>
        <v>0</v>
      </c>
    </row>
    <row r="373" spans="1:253" ht="12.75">
      <c r="A373" s="143" t="s">
        <v>314</v>
      </c>
      <c r="B373" s="144"/>
      <c r="C373" s="143"/>
      <c r="D373" s="144"/>
      <c r="E373" s="144"/>
      <c r="F373" s="143" t="s">
        <v>670</v>
      </c>
      <c r="G373" s="144"/>
      <c r="H373" s="144"/>
      <c r="I373" s="144"/>
      <c r="J373" s="144"/>
      <c r="K373" s="144"/>
      <c r="L373" s="143" t="s">
        <v>1067</v>
      </c>
      <c r="M373" s="144"/>
      <c r="N373" s="144"/>
      <c r="O373" s="144"/>
      <c r="P373" s="144"/>
      <c r="Q373" s="144"/>
      <c r="R373" s="144"/>
      <c r="S373" s="144"/>
      <c r="T373" s="144"/>
      <c r="U373" s="144"/>
      <c r="V373" s="144"/>
      <c r="W373" s="144"/>
      <c r="X373" s="144"/>
      <c r="Y373" s="144"/>
      <c r="Z373" s="144"/>
      <c r="AA373" s="144"/>
      <c r="AB373" s="144"/>
      <c r="AC373" s="144"/>
      <c r="AD373" s="144"/>
      <c r="AE373" s="144"/>
      <c r="AF373" s="144"/>
      <c r="AG373" s="144"/>
      <c r="AH373" s="144"/>
      <c r="AI373" s="144"/>
      <c r="AJ373" s="144"/>
      <c r="AK373" s="144"/>
      <c r="AL373" s="144"/>
      <c r="AM373" s="144"/>
      <c r="AN373" s="144"/>
      <c r="AO373" s="144"/>
      <c r="AP373" s="144"/>
      <c r="AQ373" s="144"/>
      <c r="AR373" s="144"/>
      <c r="AS373" s="144"/>
      <c r="AT373" s="144"/>
      <c r="AU373" s="144"/>
      <c r="AV373" s="143" t="s">
        <v>1150</v>
      </c>
      <c r="AW373" s="144"/>
      <c r="AX373" s="145">
        <f>'Stavební rozpočet'!F374</f>
        <v>0.08678</v>
      </c>
      <c r="AY373" s="146"/>
      <c r="AZ373" s="146"/>
      <c r="BA373" s="146"/>
      <c r="BB373" s="146"/>
      <c r="BC373" s="145">
        <f>'Stavební rozpočet'!G374</f>
        <v>0</v>
      </c>
      <c r="BD373" s="146"/>
      <c r="BE373" s="146"/>
      <c r="BF373" s="146"/>
      <c r="BG373" s="146"/>
      <c r="BH373" s="146"/>
      <c r="BI373" s="146"/>
      <c r="BJ373" s="146"/>
      <c r="BK373" s="145">
        <f t="shared" si="24"/>
        <v>0</v>
      </c>
      <c r="BL373" s="146"/>
      <c r="BM373" s="146"/>
      <c r="BN373" s="146"/>
      <c r="BO373" s="146"/>
      <c r="BP373" s="146"/>
      <c r="BQ373" s="146"/>
      <c r="BR373" s="146"/>
      <c r="BS373" s="143" t="s">
        <v>1177</v>
      </c>
      <c r="BT373" s="144"/>
      <c r="BU373" s="144"/>
      <c r="BV373" s="144"/>
      <c r="BW373" s="144"/>
      <c r="BX373" s="144"/>
      <c r="IR373" s="47">
        <f>BC373*1</f>
        <v>0</v>
      </c>
      <c r="IS373" s="47">
        <f>BC373*(1-1)</f>
        <v>0</v>
      </c>
    </row>
    <row r="374" spans="1:253" ht="12.75">
      <c r="A374" s="132" t="s">
        <v>315</v>
      </c>
      <c r="B374" s="133"/>
      <c r="C374" s="132"/>
      <c r="D374" s="133"/>
      <c r="E374" s="133"/>
      <c r="F374" s="132" t="s">
        <v>671</v>
      </c>
      <c r="G374" s="133"/>
      <c r="H374" s="133"/>
      <c r="I374" s="133"/>
      <c r="J374" s="133"/>
      <c r="K374" s="133"/>
      <c r="L374" s="132" t="s">
        <v>1068</v>
      </c>
      <c r="M374" s="133"/>
      <c r="N374" s="133"/>
      <c r="O374" s="133"/>
      <c r="P374" s="133"/>
      <c r="Q374" s="133"/>
      <c r="R374" s="133"/>
      <c r="S374" s="133"/>
      <c r="T374" s="133"/>
      <c r="U374" s="133"/>
      <c r="V374" s="133"/>
      <c r="W374" s="133"/>
      <c r="X374" s="133"/>
      <c r="Y374" s="133"/>
      <c r="Z374" s="133"/>
      <c r="AA374" s="133"/>
      <c r="AB374" s="133"/>
      <c r="AC374" s="133"/>
      <c r="AD374" s="133"/>
      <c r="AE374" s="133"/>
      <c r="AF374" s="133"/>
      <c r="AG374" s="133"/>
      <c r="AH374" s="133"/>
      <c r="AI374" s="133"/>
      <c r="AJ374" s="133"/>
      <c r="AK374" s="133"/>
      <c r="AL374" s="133"/>
      <c r="AM374" s="133"/>
      <c r="AN374" s="133"/>
      <c r="AO374" s="133"/>
      <c r="AP374" s="133"/>
      <c r="AQ374" s="133"/>
      <c r="AR374" s="133"/>
      <c r="AS374" s="133"/>
      <c r="AT374" s="133"/>
      <c r="AU374" s="133"/>
      <c r="AV374" s="132" t="s">
        <v>1151</v>
      </c>
      <c r="AW374" s="133"/>
      <c r="AX374" s="134">
        <f>'Stavební rozpočet'!F375</f>
        <v>129.5508</v>
      </c>
      <c r="AY374" s="135"/>
      <c r="AZ374" s="135"/>
      <c r="BA374" s="135"/>
      <c r="BB374" s="135"/>
      <c r="BC374" s="134">
        <f>'Stavební rozpočet'!G375</f>
        <v>0</v>
      </c>
      <c r="BD374" s="135"/>
      <c r="BE374" s="135"/>
      <c r="BF374" s="135"/>
      <c r="BG374" s="135"/>
      <c r="BH374" s="135"/>
      <c r="BI374" s="135"/>
      <c r="BJ374" s="135"/>
      <c r="BK374" s="134">
        <f t="shared" si="24"/>
        <v>0</v>
      </c>
      <c r="BL374" s="135"/>
      <c r="BM374" s="135"/>
      <c r="BN374" s="135"/>
      <c r="BO374" s="135"/>
      <c r="BP374" s="135"/>
      <c r="BQ374" s="135"/>
      <c r="BR374" s="135"/>
      <c r="BS374" s="132" t="s">
        <v>1177</v>
      </c>
      <c r="BT374" s="133"/>
      <c r="BU374" s="133"/>
      <c r="BV374" s="133"/>
      <c r="BW374" s="133"/>
      <c r="BX374" s="133"/>
      <c r="IR374" s="46">
        <f>BC374*0</f>
        <v>0</v>
      </c>
      <c r="IS374" s="46">
        <f>BC374*(1-0)</f>
        <v>0</v>
      </c>
    </row>
    <row r="375" spans="1:76" ht="12.75">
      <c r="A375" s="132"/>
      <c r="B375" s="133"/>
      <c r="C375" s="133"/>
      <c r="D375" s="133"/>
      <c r="E375" s="133"/>
      <c r="F375" s="133"/>
      <c r="G375" s="133"/>
      <c r="H375" s="133"/>
      <c r="I375" s="133"/>
      <c r="J375" s="133"/>
      <c r="K375" s="133"/>
      <c r="L375" s="141" t="s">
        <v>1069</v>
      </c>
      <c r="M375" s="142"/>
      <c r="N375" s="142"/>
      <c r="O375" s="142"/>
      <c r="P375" s="142"/>
      <c r="Q375" s="142"/>
      <c r="R375" s="142"/>
      <c r="S375" s="142"/>
      <c r="T375" s="142"/>
      <c r="U375" s="142"/>
      <c r="V375" s="142"/>
      <c r="W375" s="142"/>
      <c r="X375" s="142"/>
      <c r="Y375" s="142"/>
      <c r="Z375" s="142"/>
      <c r="AA375" s="142"/>
      <c r="AB375" s="142"/>
      <c r="AC375" s="142"/>
      <c r="AD375" s="142"/>
      <c r="AE375" s="142"/>
      <c r="AF375" s="142"/>
      <c r="AG375" s="142"/>
      <c r="AH375" s="142"/>
      <c r="AI375" s="142"/>
      <c r="AJ375" s="142"/>
      <c r="AK375" s="142"/>
      <c r="AL375" s="142"/>
      <c r="AM375" s="142"/>
      <c r="AN375" s="142"/>
      <c r="AO375" s="142"/>
      <c r="AP375" s="142"/>
      <c r="AQ375" s="142"/>
      <c r="AR375" s="142"/>
      <c r="AS375" s="142"/>
      <c r="AT375" s="142"/>
      <c r="AU375" s="142"/>
      <c r="AV375" s="132"/>
      <c r="AW375" s="133"/>
      <c r="AX375" s="133"/>
      <c r="AY375" s="133"/>
      <c r="AZ375" s="133"/>
      <c r="BA375" s="133"/>
      <c r="BB375" s="133"/>
      <c r="BC375" s="133"/>
      <c r="BD375" s="133"/>
      <c r="BE375" s="133"/>
      <c r="BF375" s="133"/>
      <c r="BG375" s="133"/>
      <c r="BH375" s="133"/>
      <c r="BI375" s="133"/>
      <c r="BJ375" s="133"/>
      <c r="BK375" s="133"/>
      <c r="BL375" s="133"/>
      <c r="BM375" s="133"/>
      <c r="BN375" s="133"/>
      <c r="BO375" s="133"/>
      <c r="BP375" s="133"/>
      <c r="BQ375" s="133"/>
      <c r="BR375" s="133"/>
      <c r="BS375" s="133"/>
      <c r="BT375" s="133"/>
      <c r="BU375" s="133"/>
      <c r="BV375" s="133"/>
      <c r="BW375" s="133"/>
      <c r="BX375" s="133"/>
    </row>
    <row r="376" spans="1:253" ht="12.75">
      <c r="A376" s="143" t="s">
        <v>316</v>
      </c>
      <c r="B376" s="144"/>
      <c r="C376" s="143"/>
      <c r="D376" s="144"/>
      <c r="E376" s="144"/>
      <c r="F376" s="143" t="s">
        <v>672</v>
      </c>
      <c r="G376" s="144"/>
      <c r="H376" s="144"/>
      <c r="I376" s="144"/>
      <c r="J376" s="144"/>
      <c r="K376" s="144"/>
      <c r="L376" s="143" t="s">
        <v>1070</v>
      </c>
      <c r="M376" s="144"/>
      <c r="N376" s="144"/>
      <c r="O376" s="144"/>
      <c r="P376" s="144"/>
      <c r="Q376" s="144"/>
      <c r="R376" s="144"/>
      <c r="S376" s="144"/>
      <c r="T376" s="144"/>
      <c r="U376" s="144"/>
      <c r="V376" s="144"/>
      <c r="W376" s="144"/>
      <c r="X376" s="144"/>
      <c r="Y376" s="144"/>
      <c r="Z376" s="144"/>
      <c r="AA376" s="144"/>
      <c r="AB376" s="144"/>
      <c r="AC376" s="144"/>
      <c r="AD376" s="144"/>
      <c r="AE376" s="144"/>
      <c r="AF376" s="144"/>
      <c r="AG376" s="144"/>
      <c r="AH376" s="144"/>
      <c r="AI376" s="144"/>
      <c r="AJ376" s="144"/>
      <c r="AK376" s="144"/>
      <c r="AL376" s="144"/>
      <c r="AM376" s="144"/>
      <c r="AN376" s="144"/>
      <c r="AO376" s="144"/>
      <c r="AP376" s="144"/>
      <c r="AQ376" s="144"/>
      <c r="AR376" s="144"/>
      <c r="AS376" s="144"/>
      <c r="AT376" s="144"/>
      <c r="AU376" s="144"/>
      <c r="AV376" s="143" t="s">
        <v>1151</v>
      </c>
      <c r="AW376" s="144"/>
      <c r="AX376" s="145">
        <f>'Stavební rozpočet'!F377</f>
        <v>148.98342</v>
      </c>
      <c r="AY376" s="146"/>
      <c r="AZ376" s="146"/>
      <c r="BA376" s="146"/>
      <c r="BB376" s="146"/>
      <c r="BC376" s="145">
        <f>'Stavební rozpočet'!G377</f>
        <v>0</v>
      </c>
      <c r="BD376" s="146"/>
      <c r="BE376" s="146"/>
      <c r="BF376" s="146"/>
      <c r="BG376" s="146"/>
      <c r="BH376" s="146"/>
      <c r="BI376" s="146"/>
      <c r="BJ376" s="146"/>
      <c r="BK376" s="145">
        <f>IR376*AX376+IS376*AX376</f>
        <v>0</v>
      </c>
      <c r="BL376" s="146"/>
      <c r="BM376" s="146"/>
      <c r="BN376" s="146"/>
      <c r="BO376" s="146"/>
      <c r="BP376" s="146"/>
      <c r="BQ376" s="146"/>
      <c r="BR376" s="146"/>
      <c r="BS376" s="143" t="s">
        <v>1177</v>
      </c>
      <c r="BT376" s="144"/>
      <c r="BU376" s="144"/>
      <c r="BV376" s="144"/>
      <c r="BW376" s="144"/>
      <c r="BX376" s="144"/>
      <c r="IR376" s="47">
        <f>BC376*1</f>
        <v>0</v>
      </c>
      <c r="IS376" s="47">
        <f>BC376*(1-1)</f>
        <v>0</v>
      </c>
    </row>
    <row r="377" spans="1:253" ht="12.75">
      <c r="A377" s="132" t="s">
        <v>317</v>
      </c>
      <c r="B377" s="133"/>
      <c r="C377" s="132"/>
      <c r="D377" s="133"/>
      <c r="E377" s="133"/>
      <c r="F377" s="132" t="s">
        <v>673</v>
      </c>
      <c r="G377" s="133"/>
      <c r="H377" s="133"/>
      <c r="I377" s="133"/>
      <c r="J377" s="133"/>
      <c r="K377" s="133"/>
      <c r="L377" s="132" t="s">
        <v>1071</v>
      </c>
      <c r="M377" s="133"/>
      <c r="N377" s="133"/>
      <c r="O377" s="133"/>
      <c r="P377" s="133"/>
      <c r="Q377" s="133"/>
      <c r="R377" s="133"/>
      <c r="S377" s="133"/>
      <c r="T377" s="133"/>
      <c r="U377" s="133"/>
      <c r="V377" s="133"/>
      <c r="W377" s="133"/>
      <c r="X377" s="133"/>
      <c r="Y377" s="133"/>
      <c r="Z377" s="133"/>
      <c r="AA377" s="133"/>
      <c r="AB377" s="133"/>
      <c r="AC377" s="133"/>
      <c r="AD377" s="133"/>
      <c r="AE377" s="133"/>
      <c r="AF377" s="133"/>
      <c r="AG377" s="133"/>
      <c r="AH377" s="133"/>
      <c r="AI377" s="133"/>
      <c r="AJ377" s="133"/>
      <c r="AK377" s="133"/>
      <c r="AL377" s="133"/>
      <c r="AM377" s="133"/>
      <c r="AN377" s="133"/>
      <c r="AO377" s="133"/>
      <c r="AP377" s="133"/>
      <c r="AQ377" s="133"/>
      <c r="AR377" s="133"/>
      <c r="AS377" s="133"/>
      <c r="AT377" s="133"/>
      <c r="AU377" s="133"/>
      <c r="AV377" s="132" t="s">
        <v>1151</v>
      </c>
      <c r="AW377" s="133"/>
      <c r="AX377" s="134">
        <f>'Stavební rozpočet'!F378</f>
        <v>33.44</v>
      </c>
      <c r="AY377" s="135"/>
      <c r="AZ377" s="135"/>
      <c r="BA377" s="135"/>
      <c r="BB377" s="135"/>
      <c r="BC377" s="134">
        <f>'Stavební rozpočet'!G378</f>
        <v>0</v>
      </c>
      <c r="BD377" s="135"/>
      <c r="BE377" s="135"/>
      <c r="BF377" s="135"/>
      <c r="BG377" s="135"/>
      <c r="BH377" s="135"/>
      <c r="BI377" s="135"/>
      <c r="BJ377" s="135"/>
      <c r="BK377" s="134">
        <f>IR377*AX377+IS377*AX377</f>
        <v>0</v>
      </c>
      <c r="BL377" s="135"/>
      <c r="BM377" s="135"/>
      <c r="BN377" s="135"/>
      <c r="BO377" s="135"/>
      <c r="BP377" s="135"/>
      <c r="BQ377" s="135"/>
      <c r="BR377" s="135"/>
      <c r="BS377" s="132" t="s">
        <v>1177</v>
      </c>
      <c r="BT377" s="133"/>
      <c r="BU377" s="133"/>
      <c r="BV377" s="133"/>
      <c r="BW377" s="133"/>
      <c r="BX377" s="133"/>
      <c r="IR377" s="46">
        <f>BC377*0.403409961685824</f>
        <v>0</v>
      </c>
      <c r="IS377" s="46">
        <f>BC377*(1-0.403409961685824)</f>
        <v>0</v>
      </c>
    </row>
    <row r="378" spans="1:76" ht="12.75">
      <c r="A378" s="132"/>
      <c r="B378" s="133"/>
      <c r="C378" s="133"/>
      <c r="D378" s="133"/>
      <c r="E378" s="133"/>
      <c r="F378" s="133"/>
      <c r="G378" s="133"/>
      <c r="H378" s="133"/>
      <c r="I378" s="133"/>
      <c r="J378" s="133"/>
      <c r="K378" s="133"/>
      <c r="L378" s="141" t="s">
        <v>1072</v>
      </c>
      <c r="M378" s="142"/>
      <c r="N378" s="142"/>
      <c r="O378" s="142"/>
      <c r="P378" s="142"/>
      <c r="Q378" s="142"/>
      <c r="R378" s="142"/>
      <c r="S378" s="142"/>
      <c r="T378" s="142"/>
      <c r="U378" s="142"/>
      <c r="V378" s="142"/>
      <c r="W378" s="142"/>
      <c r="X378" s="142"/>
      <c r="Y378" s="142"/>
      <c r="Z378" s="142"/>
      <c r="AA378" s="142"/>
      <c r="AB378" s="142"/>
      <c r="AC378" s="142"/>
      <c r="AD378" s="142"/>
      <c r="AE378" s="142"/>
      <c r="AF378" s="142"/>
      <c r="AG378" s="142"/>
      <c r="AH378" s="142"/>
      <c r="AI378" s="142"/>
      <c r="AJ378" s="142"/>
      <c r="AK378" s="142"/>
      <c r="AL378" s="142"/>
      <c r="AM378" s="142"/>
      <c r="AN378" s="142"/>
      <c r="AO378" s="142"/>
      <c r="AP378" s="142"/>
      <c r="AQ378" s="142"/>
      <c r="AR378" s="142"/>
      <c r="AS378" s="142"/>
      <c r="AT378" s="142"/>
      <c r="AU378" s="142"/>
      <c r="AV378" s="132"/>
      <c r="AW378" s="133"/>
      <c r="AX378" s="133"/>
      <c r="AY378" s="133"/>
      <c r="AZ378" s="133"/>
      <c r="BA378" s="133"/>
      <c r="BB378" s="133"/>
      <c r="BC378" s="133"/>
      <c r="BD378" s="133"/>
      <c r="BE378" s="133"/>
      <c r="BF378" s="133"/>
      <c r="BG378" s="133"/>
      <c r="BH378" s="133"/>
      <c r="BI378" s="133"/>
      <c r="BJ378" s="133"/>
      <c r="BK378" s="133"/>
      <c r="BL378" s="133"/>
      <c r="BM378" s="133"/>
      <c r="BN378" s="133"/>
      <c r="BO378" s="133"/>
      <c r="BP378" s="133"/>
      <c r="BQ378" s="133"/>
      <c r="BR378" s="133"/>
      <c r="BS378" s="133"/>
      <c r="BT378" s="133"/>
      <c r="BU378" s="133"/>
      <c r="BV378" s="133"/>
      <c r="BW378" s="133"/>
      <c r="BX378" s="133"/>
    </row>
    <row r="379" spans="1:253" ht="12.75">
      <c r="A379" s="132" t="s">
        <v>318</v>
      </c>
      <c r="B379" s="133"/>
      <c r="C379" s="132"/>
      <c r="D379" s="133"/>
      <c r="E379" s="133"/>
      <c r="F379" s="132" t="s">
        <v>674</v>
      </c>
      <c r="G379" s="133"/>
      <c r="H379" s="133"/>
      <c r="I379" s="133"/>
      <c r="J379" s="133"/>
      <c r="K379" s="133"/>
      <c r="L379" s="132" t="s">
        <v>1073</v>
      </c>
      <c r="M379" s="133"/>
      <c r="N379" s="133"/>
      <c r="O379" s="133"/>
      <c r="P379" s="133"/>
      <c r="Q379" s="133"/>
      <c r="R379" s="133"/>
      <c r="S379" s="133"/>
      <c r="T379" s="133"/>
      <c r="U379" s="133"/>
      <c r="V379" s="133"/>
      <c r="W379" s="133"/>
      <c r="X379" s="133"/>
      <c r="Y379" s="133"/>
      <c r="Z379" s="133"/>
      <c r="AA379" s="133"/>
      <c r="AB379" s="133"/>
      <c r="AC379" s="133"/>
      <c r="AD379" s="133"/>
      <c r="AE379" s="133"/>
      <c r="AF379" s="133"/>
      <c r="AG379" s="133"/>
      <c r="AH379" s="133"/>
      <c r="AI379" s="133"/>
      <c r="AJ379" s="133"/>
      <c r="AK379" s="133"/>
      <c r="AL379" s="133"/>
      <c r="AM379" s="133"/>
      <c r="AN379" s="133"/>
      <c r="AO379" s="133"/>
      <c r="AP379" s="133"/>
      <c r="AQ379" s="133"/>
      <c r="AR379" s="133"/>
      <c r="AS379" s="133"/>
      <c r="AT379" s="133"/>
      <c r="AU379" s="133"/>
      <c r="AV379" s="132" t="s">
        <v>1150</v>
      </c>
      <c r="AW379" s="133"/>
      <c r="AX379" s="134">
        <f>'Stavební rozpočet'!F380</f>
        <v>15.02454</v>
      </c>
      <c r="AY379" s="135"/>
      <c r="AZ379" s="135"/>
      <c r="BA379" s="135"/>
      <c r="BB379" s="135"/>
      <c r="BC379" s="134">
        <f>'Stavební rozpočet'!G380</f>
        <v>0</v>
      </c>
      <c r="BD379" s="135"/>
      <c r="BE379" s="135"/>
      <c r="BF379" s="135"/>
      <c r="BG379" s="135"/>
      <c r="BH379" s="135"/>
      <c r="BI379" s="135"/>
      <c r="BJ379" s="135"/>
      <c r="BK379" s="134">
        <f>IR379*AX379+IS379*AX379</f>
        <v>0</v>
      </c>
      <c r="BL379" s="135"/>
      <c r="BM379" s="135"/>
      <c r="BN379" s="135"/>
      <c r="BO379" s="135"/>
      <c r="BP379" s="135"/>
      <c r="BQ379" s="135"/>
      <c r="BR379" s="135"/>
      <c r="BS379" s="132" t="s">
        <v>1177</v>
      </c>
      <c r="BT379" s="133"/>
      <c r="BU379" s="133"/>
      <c r="BV379" s="133"/>
      <c r="BW379" s="133"/>
      <c r="BX379" s="133"/>
      <c r="IR379" s="46">
        <f>BC379*1</f>
        <v>0</v>
      </c>
      <c r="IS379" s="46">
        <f>BC379*(1-1)</f>
        <v>0</v>
      </c>
    </row>
    <row r="380" spans="1:253" ht="12.75">
      <c r="A380" s="132" t="s">
        <v>319</v>
      </c>
      <c r="B380" s="133"/>
      <c r="C380" s="132"/>
      <c r="D380" s="133"/>
      <c r="E380" s="133"/>
      <c r="F380" s="132" t="s">
        <v>675</v>
      </c>
      <c r="G380" s="133"/>
      <c r="H380" s="133"/>
      <c r="I380" s="133"/>
      <c r="J380" s="133"/>
      <c r="K380" s="133"/>
      <c r="L380" s="132" t="s">
        <v>1074</v>
      </c>
      <c r="M380" s="133"/>
      <c r="N380" s="133"/>
      <c r="O380" s="133"/>
      <c r="P380" s="133"/>
      <c r="Q380" s="133"/>
      <c r="R380" s="133"/>
      <c r="S380" s="133"/>
      <c r="T380" s="133"/>
      <c r="U380" s="133"/>
      <c r="V380" s="133"/>
      <c r="W380" s="133"/>
      <c r="X380" s="133"/>
      <c r="Y380" s="133"/>
      <c r="Z380" s="133"/>
      <c r="AA380" s="133"/>
      <c r="AB380" s="133"/>
      <c r="AC380" s="133"/>
      <c r="AD380" s="133"/>
      <c r="AE380" s="133"/>
      <c r="AF380" s="133"/>
      <c r="AG380" s="133"/>
      <c r="AH380" s="133"/>
      <c r="AI380" s="133"/>
      <c r="AJ380" s="133"/>
      <c r="AK380" s="133"/>
      <c r="AL380" s="133"/>
      <c r="AM380" s="133"/>
      <c r="AN380" s="133"/>
      <c r="AO380" s="133"/>
      <c r="AP380" s="133"/>
      <c r="AQ380" s="133"/>
      <c r="AR380" s="133"/>
      <c r="AS380" s="133"/>
      <c r="AT380" s="133"/>
      <c r="AU380" s="133"/>
      <c r="AV380" s="132" t="s">
        <v>1152</v>
      </c>
      <c r="AW380" s="133"/>
      <c r="AX380" s="134">
        <f>'Stavební rozpočet'!F381</f>
        <v>9.5308</v>
      </c>
      <c r="AY380" s="135"/>
      <c r="AZ380" s="135"/>
      <c r="BA380" s="135"/>
      <c r="BB380" s="135"/>
      <c r="BC380" s="134">
        <f>'Stavební rozpočet'!G381</f>
        <v>0</v>
      </c>
      <c r="BD380" s="135"/>
      <c r="BE380" s="135"/>
      <c r="BF380" s="135"/>
      <c r="BG380" s="135"/>
      <c r="BH380" s="135"/>
      <c r="BI380" s="135"/>
      <c r="BJ380" s="135"/>
      <c r="BK380" s="134">
        <f>IR380*AX380+IS380*AX380</f>
        <v>0</v>
      </c>
      <c r="BL380" s="135"/>
      <c r="BM380" s="135"/>
      <c r="BN380" s="135"/>
      <c r="BO380" s="135"/>
      <c r="BP380" s="135"/>
      <c r="BQ380" s="135"/>
      <c r="BR380" s="135"/>
      <c r="BS380" s="132" t="s">
        <v>1177</v>
      </c>
      <c r="BT380" s="133"/>
      <c r="BU380" s="133"/>
      <c r="BV380" s="133"/>
      <c r="BW380" s="133"/>
      <c r="BX380" s="133"/>
      <c r="IR380" s="46">
        <f>BC380*0</f>
        <v>0</v>
      </c>
      <c r="IS380" s="46">
        <f>BC380*(1-0)</f>
        <v>0</v>
      </c>
    </row>
    <row r="381" spans="1:76" ht="12.75">
      <c r="A381" s="136" t="s">
        <v>6</v>
      </c>
      <c r="B381" s="137"/>
      <c r="C381" s="136" t="s">
        <v>6</v>
      </c>
      <c r="D381" s="137"/>
      <c r="E381" s="137"/>
      <c r="F381" s="136" t="s">
        <v>676</v>
      </c>
      <c r="G381" s="137"/>
      <c r="H381" s="137"/>
      <c r="I381" s="137"/>
      <c r="J381" s="137"/>
      <c r="K381" s="137"/>
      <c r="L381" s="136" t="s">
        <v>1075</v>
      </c>
      <c r="M381" s="137"/>
      <c r="N381" s="137"/>
      <c r="O381" s="137"/>
      <c r="P381" s="137"/>
      <c r="Q381" s="137"/>
      <c r="R381" s="137"/>
      <c r="S381" s="137"/>
      <c r="T381" s="137"/>
      <c r="U381" s="137"/>
      <c r="V381" s="137"/>
      <c r="W381" s="137"/>
      <c r="X381" s="137"/>
      <c r="Y381" s="137"/>
      <c r="Z381" s="137"/>
      <c r="AA381" s="137"/>
      <c r="AB381" s="137"/>
      <c r="AC381" s="137"/>
      <c r="AD381" s="137"/>
      <c r="AE381" s="137"/>
      <c r="AF381" s="137"/>
      <c r="AG381" s="137"/>
      <c r="AH381" s="137"/>
      <c r="AI381" s="137"/>
      <c r="AJ381" s="137"/>
      <c r="AK381" s="137"/>
      <c r="AL381" s="137"/>
      <c r="AM381" s="137"/>
      <c r="AN381" s="137"/>
      <c r="AO381" s="137"/>
      <c r="AP381" s="137"/>
      <c r="AQ381" s="137"/>
      <c r="AR381" s="137"/>
      <c r="AS381" s="137"/>
      <c r="AT381" s="137"/>
      <c r="AU381" s="137"/>
      <c r="AV381" s="136" t="s">
        <v>6</v>
      </c>
      <c r="AW381" s="137"/>
      <c r="AX381" s="138" t="s">
        <v>6</v>
      </c>
      <c r="AY381" s="139"/>
      <c r="AZ381" s="139"/>
      <c r="BA381" s="139"/>
      <c r="BB381" s="139"/>
      <c r="BC381" s="138" t="s">
        <v>6</v>
      </c>
      <c r="BD381" s="139"/>
      <c r="BE381" s="139"/>
      <c r="BF381" s="139"/>
      <c r="BG381" s="139"/>
      <c r="BH381" s="139"/>
      <c r="BI381" s="139"/>
      <c r="BJ381" s="139"/>
      <c r="BK381" s="140">
        <f>SUM(BK382:BK389)</f>
        <v>0</v>
      </c>
      <c r="BL381" s="139"/>
      <c r="BM381" s="139"/>
      <c r="BN381" s="139"/>
      <c r="BO381" s="139"/>
      <c r="BP381" s="139"/>
      <c r="BQ381" s="139"/>
      <c r="BR381" s="139"/>
      <c r="BS381" s="136" t="s">
        <v>6</v>
      </c>
      <c r="BT381" s="137"/>
      <c r="BU381" s="137"/>
      <c r="BV381" s="137"/>
      <c r="BW381" s="137"/>
      <c r="BX381" s="137"/>
    </row>
    <row r="382" spans="1:253" ht="12.75">
      <c r="A382" s="132" t="s">
        <v>320</v>
      </c>
      <c r="B382" s="133"/>
      <c r="C382" s="132"/>
      <c r="D382" s="133"/>
      <c r="E382" s="133"/>
      <c r="F382" s="132" t="s">
        <v>677</v>
      </c>
      <c r="G382" s="133"/>
      <c r="H382" s="133"/>
      <c r="I382" s="133"/>
      <c r="J382" s="133"/>
      <c r="K382" s="133"/>
      <c r="L382" s="132" t="s">
        <v>1076</v>
      </c>
      <c r="M382" s="133"/>
      <c r="N382" s="133"/>
      <c r="O382" s="133"/>
      <c r="P382" s="133"/>
      <c r="Q382" s="133"/>
      <c r="R382" s="133"/>
      <c r="S382" s="133"/>
      <c r="T382" s="133"/>
      <c r="U382" s="133"/>
      <c r="V382" s="133"/>
      <c r="W382" s="133"/>
      <c r="X382" s="133"/>
      <c r="Y382" s="133"/>
      <c r="Z382" s="133"/>
      <c r="AA382" s="133"/>
      <c r="AB382" s="133"/>
      <c r="AC382" s="133"/>
      <c r="AD382" s="133"/>
      <c r="AE382" s="133"/>
      <c r="AF382" s="133"/>
      <c r="AG382" s="133"/>
      <c r="AH382" s="133"/>
      <c r="AI382" s="133"/>
      <c r="AJ382" s="133"/>
      <c r="AK382" s="133"/>
      <c r="AL382" s="133"/>
      <c r="AM382" s="133"/>
      <c r="AN382" s="133"/>
      <c r="AO382" s="133"/>
      <c r="AP382" s="133"/>
      <c r="AQ382" s="133"/>
      <c r="AR382" s="133"/>
      <c r="AS382" s="133"/>
      <c r="AT382" s="133"/>
      <c r="AU382" s="133"/>
      <c r="AV382" s="132" t="s">
        <v>1154</v>
      </c>
      <c r="AW382" s="133"/>
      <c r="AX382" s="134">
        <f>'Stavební rozpočet'!F383</f>
        <v>8.5</v>
      </c>
      <c r="AY382" s="135"/>
      <c r="AZ382" s="135"/>
      <c r="BA382" s="135"/>
      <c r="BB382" s="135"/>
      <c r="BC382" s="134">
        <f>'Stavební rozpočet'!G383</f>
        <v>0</v>
      </c>
      <c r="BD382" s="135"/>
      <c r="BE382" s="135"/>
      <c r="BF382" s="135"/>
      <c r="BG382" s="135"/>
      <c r="BH382" s="135"/>
      <c r="BI382" s="135"/>
      <c r="BJ382" s="135"/>
      <c r="BK382" s="134">
        <f>IR382*AX382+IS382*AX382</f>
        <v>0</v>
      </c>
      <c r="BL382" s="135"/>
      <c r="BM382" s="135"/>
      <c r="BN382" s="135"/>
      <c r="BO382" s="135"/>
      <c r="BP382" s="135"/>
      <c r="BQ382" s="135"/>
      <c r="BR382" s="135"/>
      <c r="BS382" s="132" t="s">
        <v>1177</v>
      </c>
      <c r="BT382" s="133"/>
      <c r="BU382" s="133"/>
      <c r="BV382" s="133"/>
      <c r="BW382" s="133"/>
      <c r="BX382" s="133"/>
      <c r="IR382" s="46">
        <f>BC382*0.230652173913043</f>
        <v>0</v>
      </c>
      <c r="IS382" s="46">
        <f>BC382*(1-0.230652173913043)</f>
        <v>0</v>
      </c>
    </row>
    <row r="383" spans="1:253" ht="12.75">
      <c r="A383" s="132" t="s">
        <v>321</v>
      </c>
      <c r="B383" s="133"/>
      <c r="C383" s="132"/>
      <c r="D383" s="133"/>
      <c r="E383" s="133"/>
      <c r="F383" s="132" t="s">
        <v>678</v>
      </c>
      <c r="G383" s="133"/>
      <c r="H383" s="133"/>
      <c r="I383" s="133"/>
      <c r="J383" s="133"/>
      <c r="K383" s="133"/>
      <c r="L383" s="132" t="s">
        <v>1077</v>
      </c>
      <c r="M383" s="133"/>
      <c r="N383" s="133"/>
      <c r="O383" s="133"/>
      <c r="P383" s="133"/>
      <c r="Q383" s="133"/>
      <c r="R383" s="133"/>
      <c r="S383" s="133"/>
      <c r="T383" s="133"/>
      <c r="U383" s="133"/>
      <c r="V383" s="133"/>
      <c r="W383" s="133"/>
      <c r="X383" s="133"/>
      <c r="Y383" s="133"/>
      <c r="Z383" s="133"/>
      <c r="AA383" s="133"/>
      <c r="AB383" s="133"/>
      <c r="AC383" s="133"/>
      <c r="AD383" s="133"/>
      <c r="AE383" s="133"/>
      <c r="AF383" s="133"/>
      <c r="AG383" s="133"/>
      <c r="AH383" s="133"/>
      <c r="AI383" s="133"/>
      <c r="AJ383" s="133"/>
      <c r="AK383" s="133"/>
      <c r="AL383" s="133"/>
      <c r="AM383" s="133"/>
      <c r="AN383" s="133"/>
      <c r="AO383" s="133"/>
      <c r="AP383" s="133"/>
      <c r="AQ383" s="133"/>
      <c r="AR383" s="133"/>
      <c r="AS383" s="133"/>
      <c r="AT383" s="133"/>
      <c r="AU383" s="133"/>
      <c r="AV383" s="132" t="s">
        <v>1154</v>
      </c>
      <c r="AW383" s="133"/>
      <c r="AX383" s="134">
        <f>'Stavební rozpočet'!F384</f>
        <v>67.5</v>
      </c>
      <c r="AY383" s="135"/>
      <c r="AZ383" s="135"/>
      <c r="BA383" s="135"/>
      <c r="BB383" s="135"/>
      <c r="BC383" s="134">
        <f>'Stavební rozpočet'!G384</f>
        <v>0</v>
      </c>
      <c r="BD383" s="135"/>
      <c r="BE383" s="135"/>
      <c r="BF383" s="135"/>
      <c r="BG383" s="135"/>
      <c r="BH383" s="135"/>
      <c r="BI383" s="135"/>
      <c r="BJ383" s="135"/>
      <c r="BK383" s="134">
        <f>IR383*AX383+IS383*AX383</f>
        <v>0</v>
      </c>
      <c r="BL383" s="135"/>
      <c r="BM383" s="135"/>
      <c r="BN383" s="135"/>
      <c r="BO383" s="135"/>
      <c r="BP383" s="135"/>
      <c r="BQ383" s="135"/>
      <c r="BR383" s="135"/>
      <c r="BS383" s="132" t="s">
        <v>1177</v>
      </c>
      <c r="BT383" s="133"/>
      <c r="BU383" s="133"/>
      <c r="BV383" s="133"/>
      <c r="BW383" s="133"/>
      <c r="BX383" s="133"/>
      <c r="IR383" s="46">
        <f>BC383*0.230625</f>
        <v>0</v>
      </c>
      <c r="IS383" s="46">
        <f>BC383*(1-0.230625)</f>
        <v>0</v>
      </c>
    </row>
    <row r="384" spans="1:253" ht="12.75">
      <c r="A384" s="132" t="s">
        <v>322</v>
      </c>
      <c r="B384" s="133"/>
      <c r="C384" s="132"/>
      <c r="D384" s="133"/>
      <c r="E384" s="133"/>
      <c r="F384" s="132" t="s">
        <v>679</v>
      </c>
      <c r="G384" s="133"/>
      <c r="H384" s="133"/>
      <c r="I384" s="133"/>
      <c r="J384" s="133"/>
      <c r="K384" s="133"/>
      <c r="L384" s="132" t="s">
        <v>1078</v>
      </c>
      <c r="M384" s="133"/>
      <c r="N384" s="133"/>
      <c r="O384" s="133"/>
      <c r="P384" s="133"/>
      <c r="Q384" s="133"/>
      <c r="R384" s="133"/>
      <c r="S384" s="133"/>
      <c r="T384" s="133"/>
      <c r="U384" s="133"/>
      <c r="V384" s="133"/>
      <c r="W384" s="133"/>
      <c r="X384" s="133"/>
      <c r="Y384" s="133"/>
      <c r="Z384" s="133"/>
      <c r="AA384" s="133"/>
      <c r="AB384" s="133"/>
      <c r="AC384" s="133"/>
      <c r="AD384" s="133"/>
      <c r="AE384" s="133"/>
      <c r="AF384" s="133"/>
      <c r="AG384" s="133"/>
      <c r="AH384" s="133"/>
      <c r="AI384" s="133"/>
      <c r="AJ384" s="133"/>
      <c r="AK384" s="133"/>
      <c r="AL384" s="133"/>
      <c r="AM384" s="133"/>
      <c r="AN384" s="133"/>
      <c r="AO384" s="133"/>
      <c r="AP384" s="133"/>
      <c r="AQ384" s="133"/>
      <c r="AR384" s="133"/>
      <c r="AS384" s="133"/>
      <c r="AT384" s="133"/>
      <c r="AU384" s="133"/>
      <c r="AV384" s="132" t="s">
        <v>1154</v>
      </c>
      <c r="AW384" s="133"/>
      <c r="AX384" s="134">
        <f>'Stavební rozpočet'!F385</f>
        <v>17.5</v>
      </c>
      <c r="AY384" s="135"/>
      <c r="AZ384" s="135"/>
      <c r="BA384" s="135"/>
      <c r="BB384" s="135"/>
      <c r="BC384" s="134">
        <f>'Stavební rozpočet'!G385</f>
        <v>0</v>
      </c>
      <c r="BD384" s="135"/>
      <c r="BE384" s="135"/>
      <c r="BF384" s="135"/>
      <c r="BG384" s="135"/>
      <c r="BH384" s="135"/>
      <c r="BI384" s="135"/>
      <c r="BJ384" s="135"/>
      <c r="BK384" s="134">
        <f>IR384*AX384+IS384*AX384</f>
        <v>0</v>
      </c>
      <c r="BL384" s="135"/>
      <c r="BM384" s="135"/>
      <c r="BN384" s="135"/>
      <c r="BO384" s="135"/>
      <c r="BP384" s="135"/>
      <c r="BQ384" s="135"/>
      <c r="BR384" s="135"/>
      <c r="BS384" s="132" t="s">
        <v>1177</v>
      </c>
      <c r="BT384" s="133"/>
      <c r="BU384" s="133"/>
      <c r="BV384" s="133"/>
      <c r="BW384" s="133"/>
      <c r="BX384" s="133"/>
      <c r="IR384" s="46">
        <f>BC384*0.230644171779141</f>
        <v>0</v>
      </c>
      <c r="IS384" s="46">
        <f>BC384*(1-0.230644171779141)</f>
        <v>0</v>
      </c>
    </row>
    <row r="385" spans="1:253" ht="12.75">
      <c r="A385" s="132" t="s">
        <v>323</v>
      </c>
      <c r="B385" s="133"/>
      <c r="C385" s="132"/>
      <c r="D385" s="133"/>
      <c r="E385" s="133"/>
      <c r="F385" s="132" t="s">
        <v>680</v>
      </c>
      <c r="G385" s="133"/>
      <c r="H385" s="133"/>
      <c r="I385" s="133"/>
      <c r="J385" s="133"/>
      <c r="K385" s="133"/>
      <c r="L385" s="132" t="s">
        <v>1079</v>
      </c>
      <c r="M385" s="133"/>
      <c r="N385" s="133"/>
      <c r="O385" s="133"/>
      <c r="P385" s="133"/>
      <c r="Q385" s="133"/>
      <c r="R385" s="133"/>
      <c r="S385" s="133"/>
      <c r="T385" s="133"/>
      <c r="U385" s="133"/>
      <c r="V385" s="133"/>
      <c r="W385" s="133"/>
      <c r="X385" s="133"/>
      <c r="Y385" s="133"/>
      <c r="Z385" s="133"/>
      <c r="AA385" s="133"/>
      <c r="AB385" s="133"/>
      <c r="AC385" s="133"/>
      <c r="AD385" s="133"/>
      <c r="AE385" s="133"/>
      <c r="AF385" s="133"/>
      <c r="AG385" s="133"/>
      <c r="AH385" s="133"/>
      <c r="AI385" s="133"/>
      <c r="AJ385" s="133"/>
      <c r="AK385" s="133"/>
      <c r="AL385" s="133"/>
      <c r="AM385" s="133"/>
      <c r="AN385" s="133"/>
      <c r="AO385" s="133"/>
      <c r="AP385" s="133"/>
      <c r="AQ385" s="133"/>
      <c r="AR385" s="133"/>
      <c r="AS385" s="133"/>
      <c r="AT385" s="133"/>
      <c r="AU385" s="133"/>
      <c r="AV385" s="132" t="s">
        <v>1154</v>
      </c>
      <c r="AW385" s="133"/>
      <c r="AX385" s="134">
        <f>'Stavební rozpočet'!F386</f>
        <v>29.7</v>
      </c>
      <c r="AY385" s="135"/>
      <c r="AZ385" s="135"/>
      <c r="BA385" s="135"/>
      <c r="BB385" s="135"/>
      <c r="BC385" s="134">
        <f>'Stavební rozpočet'!G386</f>
        <v>0</v>
      </c>
      <c r="BD385" s="135"/>
      <c r="BE385" s="135"/>
      <c r="BF385" s="135"/>
      <c r="BG385" s="135"/>
      <c r="BH385" s="135"/>
      <c r="BI385" s="135"/>
      <c r="BJ385" s="135"/>
      <c r="BK385" s="134">
        <f>IR385*AX385+IS385*AX385</f>
        <v>0</v>
      </c>
      <c r="BL385" s="135"/>
      <c r="BM385" s="135"/>
      <c r="BN385" s="135"/>
      <c r="BO385" s="135"/>
      <c r="BP385" s="135"/>
      <c r="BQ385" s="135"/>
      <c r="BR385" s="135"/>
      <c r="BS385" s="132" t="s">
        <v>1177</v>
      </c>
      <c r="BT385" s="133"/>
      <c r="BU385" s="133"/>
      <c r="BV385" s="133"/>
      <c r="BW385" s="133"/>
      <c r="BX385" s="133"/>
      <c r="IR385" s="46">
        <f>BC385*0.230651685393258</f>
        <v>0</v>
      </c>
      <c r="IS385" s="46">
        <f>BC385*(1-0.230651685393258)</f>
        <v>0</v>
      </c>
    </row>
    <row r="386" spans="1:76" ht="12.75">
      <c r="A386" s="132"/>
      <c r="B386" s="133"/>
      <c r="C386" s="133"/>
      <c r="D386" s="133"/>
      <c r="E386" s="133"/>
      <c r="F386" s="133"/>
      <c r="G386" s="133"/>
      <c r="H386" s="133"/>
      <c r="I386" s="133"/>
      <c r="J386" s="133"/>
      <c r="K386" s="133"/>
      <c r="L386" s="141" t="s">
        <v>1080</v>
      </c>
      <c r="M386" s="142"/>
      <c r="N386" s="142"/>
      <c r="O386" s="142"/>
      <c r="P386" s="142"/>
      <c r="Q386" s="142"/>
      <c r="R386" s="142"/>
      <c r="S386" s="142"/>
      <c r="T386" s="142"/>
      <c r="U386" s="142"/>
      <c r="V386" s="142"/>
      <c r="W386" s="142"/>
      <c r="X386" s="142"/>
      <c r="Y386" s="142"/>
      <c r="Z386" s="142"/>
      <c r="AA386" s="142"/>
      <c r="AB386" s="142"/>
      <c r="AC386" s="142"/>
      <c r="AD386" s="142"/>
      <c r="AE386" s="142"/>
      <c r="AF386" s="142"/>
      <c r="AG386" s="142"/>
      <c r="AH386" s="142"/>
      <c r="AI386" s="142"/>
      <c r="AJ386" s="142"/>
      <c r="AK386" s="142"/>
      <c r="AL386" s="142"/>
      <c r="AM386" s="142"/>
      <c r="AN386" s="142"/>
      <c r="AO386" s="142"/>
      <c r="AP386" s="142"/>
      <c r="AQ386" s="142"/>
      <c r="AR386" s="142"/>
      <c r="AS386" s="142"/>
      <c r="AT386" s="142"/>
      <c r="AU386" s="142"/>
      <c r="AV386" s="132"/>
      <c r="AW386" s="133"/>
      <c r="AX386" s="133"/>
      <c r="AY386" s="133"/>
      <c r="AZ386" s="133"/>
      <c r="BA386" s="133"/>
      <c r="BB386" s="133"/>
      <c r="BC386" s="133"/>
      <c r="BD386" s="133"/>
      <c r="BE386" s="133"/>
      <c r="BF386" s="133"/>
      <c r="BG386" s="133"/>
      <c r="BH386" s="133"/>
      <c r="BI386" s="133"/>
      <c r="BJ386" s="133"/>
      <c r="BK386" s="133"/>
      <c r="BL386" s="133"/>
      <c r="BM386" s="133"/>
      <c r="BN386" s="133"/>
      <c r="BO386" s="133"/>
      <c r="BP386" s="133"/>
      <c r="BQ386" s="133"/>
      <c r="BR386" s="133"/>
      <c r="BS386" s="133"/>
      <c r="BT386" s="133"/>
      <c r="BU386" s="133"/>
      <c r="BV386" s="133"/>
      <c r="BW386" s="133"/>
      <c r="BX386" s="133"/>
    </row>
    <row r="387" spans="1:253" ht="12.75">
      <c r="A387" s="132" t="s">
        <v>324</v>
      </c>
      <c r="B387" s="133"/>
      <c r="C387" s="132"/>
      <c r="D387" s="133"/>
      <c r="E387" s="133"/>
      <c r="F387" s="132" t="s">
        <v>681</v>
      </c>
      <c r="G387" s="133"/>
      <c r="H387" s="133"/>
      <c r="I387" s="133"/>
      <c r="J387" s="133"/>
      <c r="K387" s="133"/>
      <c r="L387" s="132" t="s">
        <v>1081</v>
      </c>
      <c r="M387" s="133"/>
      <c r="N387" s="133"/>
      <c r="O387" s="133"/>
      <c r="P387" s="133"/>
      <c r="Q387" s="133"/>
      <c r="R387" s="133"/>
      <c r="S387" s="133"/>
      <c r="T387" s="133"/>
      <c r="U387" s="133"/>
      <c r="V387" s="133"/>
      <c r="W387" s="133"/>
      <c r="X387" s="133"/>
      <c r="Y387" s="133"/>
      <c r="Z387" s="133"/>
      <c r="AA387" s="133"/>
      <c r="AB387" s="133"/>
      <c r="AC387" s="133"/>
      <c r="AD387" s="133"/>
      <c r="AE387" s="133"/>
      <c r="AF387" s="133"/>
      <c r="AG387" s="133"/>
      <c r="AH387" s="133"/>
      <c r="AI387" s="133"/>
      <c r="AJ387" s="133"/>
      <c r="AK387" s="133"/>
      <c r="AL387" s="133"/>
      <c r="AM387" s="133"/>
      <c r="AN387" s="133"/>
      <c r="AO387" s="133"/>
      <c r="AP387" s="133"/>
      <c r="AQ387" s="133"/>
      <c r="AR387" s="133"/>
      <c r="AS387" s="133"/>
      <c r="AT387" s="133"/>
      <c r="AU387" s="133"/>
      <c r="AV387" s="132" t="s">
        <v>1154</v>
      </c>
      <c r="AW387" s="133"/>
      <c r="AX387" s="134">
        <f>'Stavební rozpočet'!F388</f>
        <v>8</v>
      </c>
      <c r="AY387" s="135"/>
      <c r="AZ387" s="135"/>
      <c r="BA387" s="135"/>
      <c r="BB387" s="135"/>
      <c r="BC387" s="134">
        <f>'Stavební rozpočet'!G388</f>
        <v>0</v>
      </c>
      <c r="BD387" s="135"/>
      <c r="BE387" s="135"/>
      <c r="BF387" s="135"/>
      <c r="BG387" s="135"/>
      <c r="BH387" s="135"/>
      <c r="BI387" s="135"/>
      <c r="BJ387" s="135"/>
      <c r="BK387" s="134">
        <f>IR387*AX387+IS387*AX387</f>
        <v>0</v>
      </c>
      <c r="BL387" s="135"/>
      <c r="BM387" s="135"/>
      <c r="BN387" s="135"/>
      <c r="BO387" s="135"/>
      <c r="BP387" s="135"/>
      <c r="BQ387" s="135"/>
      <c r="BR387" s="135"/>
      <c r="BS387" s="132" t="s">
        <v>1177</v>
      </c>
      <c r="BT387" s="133"/>
      <c r="BU387" s="133"/>
      <c r="BV387" s="133"/>
      <c r="BW387" s="133"/>
      <c r="BX387" s="133"/>
      <c r="IR387" s="46">
        <f>BC387*0.230647619047619</f>
        <v>0</v>
      </c>
      <c r="IS387" s="46">
        <f>BC387*(1-0.230647619047619)</f>
        <v>0</v>
      </c>
    </row>
    <row r="388" spans="1:76" ht="12.75">
      <c r="A388" s="132"/>
      <c r="B388" s="133"/>
      <c r="C388" s="133"/>
      <c r="D388" s="133"/>
      <c r="E388" s="133"/>
      <c r="F388" s="133"/>
      <c r="G388" s="133"/>
      <c r="H388" s="133"/>
      <c r="I388" s="133"/>
      <c r="J388" s="133"/>
      <c r="K388" s="133"/>
      <c r="L388" s="141" t="s">
        <v>1082</v>
      </c>
      <c r="M388" s="142"/>
      <c r="N388" s="142"/>
      <c r="O388" s="142"/>
      <c r="P388" s="142"/>
      <c r="Q388" s="142"/>
      <c r="R388" s="142"/>
      <c r="S388" s="142"/>
      <c r="T388" s="142"/>
      <c r="U388" s="142"/>
      <c r="V388" s="142"/>
      <c r="W388" s="142"/>
      <c r="X388" s="142"/>
      <c r="Y388" s="142"/>
      <c r="Z388" s="142"/>
      <c r="AA388" s="142"/>
      <c r="AB388" s="142"/>
      <c r="AC388" s="142"/>
      <c r="AD388" s="142"/>
      <c r="AE388" s="142"/>
      <c r="AF388" s="142"/>
      <c r="AG388" s="142"/>
      <c r="AH388" s="142"/>
      <c r="AI388" s="142"/>
      <c r="AJ388" s="142"/>
      <c r="AK388" s="142"/>
      <c r="AL388" s="142"/>
      <c r="AM388" s="142"/>
      <c r="AN388" s="142"/>
      <c r="AO388" s="142"/>
      <c r="AP388" s="142"/>
      <c r="AQ388" s="142"/>
      <c r="AR388" s="142"/>
      <c r="AS388" s="142"/>
      <c r="AT388" s="142"/>
      <c r="AU388" s="142"/>
      <c r="AV388" s="132"/>
      <c r="AW388" s="133"/>
      <c r="AX388" s="133"/>
      <c r="AY388" s="133"/>
      <c r="AZ388" s="133"/>
      <c r="BA388" s="133"/>
      <c r="BB388" s="133"/>
      <c r="BC388" s="133"/>
      <c r="BD388" s="133"/>
      <c r="BE388" s="133"/>
      <c r="BF388" s="133"/>
      <c r="BG388" s="133"/>
      <c r="BH388" s="133"/>
      <c r="BI388" s="133"/>
      <c r="BJ388" s="133"/>
      <c r="BK388" s="133"/>
      <c r="BL388" s="133"/>
      <c r="BM388" s="133"/>
      <c r="BN388" s="133"/>
      <c r="BO388" s="133"/>
      <c r="BP388" s="133"/>
      <c r="BQ388" s="133"/>
      <c r="BR388" s="133"/>
      <c r="BS388" s="133"/>
      <c r="BT388" s="133"/>
      <c r="BU388" s="133"/>
      <c r="BV388" s="133"/>
      <c r="BW388" s="133"/>
      <c r="BX388" s="133"/>
    </row>
    <row r="389" spans="1:253" ht="12.75">
      <c r="A389" s="132" t="s">
        <v>325</v>
      </c>
      <c r="B389" s="133"/>
      <c r="C389" s="132"/>
      <c r="D389" s="133"/>
      <c r="E389" s="133"/>
      <c r="F389" s="132" t="s">
        <v>682</v>
      </c>
      <c r="G389" s="133"/>
      <c r="H389" s="133"/>
      <c r="I389" s="133"/>
      <c r="J389" s="133"/>
      <c r="K389" s="133"/>
      <c r="L389" s="132" t="s">
        <v>1083</v>
      </c>
      <c r="M389" s="133"/>
      <c r="N389" s="133"/>
      <c r="O389" s="133"/>
      <c r="P389" s="133"/>
      <c r="Q389" s="133"/>
      <c r="R389" s="133"/>
      <c r="S389" s="133"/>
      <c r="T389" s="133"/>
      <c r="U389" s="133"/>
      <c r="V389" s="133"/>
      <c r="W389" s="133"/>
      <c r="X389" s="133"/>
      <c r="Y389" s="133"/>
      <c r="Z389" s="133"/>
      <c r="AA389" s="133"/>
      <c r="AB389" s="133"/>
      <c r="AC389" s="133"/>
      <c r="AD389" s="133"/>
      <c r="AE389" s="133"/>
      <c r="AF389" s="133"/>
      <c r="AG389" s="133"/>
      <c r="AH389" s="133"/>
      <c r="AI389" s="133"/>
      <c r="AJ389" s="133"/>
      <c r="AK389" s="133"/>
      <c r="AL389" s="133"/>
      <c r="AM389" s="133"/>
      <c r="AN389" s="133"/>
      <c r="AO389" s="133"/>
      <c r="AP389" s="133"/>
      <c r="AQ389" s="133"/>
      <c r="AR389" s="133"/>
      <c r="AS389" s="133"/>
      <c r="AT389" s="133"/>
      <c r="AU389" s="133"/>
      <c r="AV389" s="132" t="s">
        <v>1152</v>
      </c>
      <c r="AW389" s="133"/>
      <c r="AX389" s="134">
        <f>'Stavební rozpočet'!F390</f>
        <v>0.3779</v>
      </c>
      <c r="AY389" s="135"/>
      <c r="AZ389" s="135"/>
      <c r="BA389" s="135"/>
      <c r="BB389" s="135"/>
      <c r="BC389" s="134">
        <f>'Stavební rozpočet'!G390</f>
        <v>0</v>
      </c>
      <c r="BD389" s="135"/>
      <c r="BE389" s="135"/>
      <c r="BF389" s="135"/>
      <c r="BG389" s="135"/>
      <c r="BH389" s="135"/>
      <c r="BI389" s="135"/>
      <c r="BJ389" s="135"/>
      <c r="BK389" s="134">
        <f>IR389*AX389+IS389*AX389</f>
        <v>0</v>
      </c>
      <c r="BL389" s="135"/>
      <c r="BM389" s="135"/>
      <c r="BN389" s="135"/>
      <c r="BO389" s="135"/>
      <c r="BP389" s="135"/>
      <c r="BQ389" s="135"/>
      <c r="BR389" s="135"/>
      <c r="BS389" s="132" t="s">
        <v>1177</v>
      </c>
      <c r="BT389" s="133"/>
      <c r="BU389" s="133"/>
      <c r="BV389" s="133"/>
      <c r="BW389" s="133"/>
      <c r="BX389" s="133"/>
      <c r="IR389" s="46">
        <f>BC389*0</f>
        <v>0</v>
      </c>
      <c r="IS389" s="46">
        <f>BC389*(1-0)</f>
        <v>0</v>
      </c>
    </row>
    <row r="390" spans="1:76" ht="12.75">
      <c r="A390" s="136" t="s">
        <v>6</v>
      </c>
      <c r="B390" s="137"/>
      <c r="C390" s="136" t="s">
        <v>6</v>
      </c>
      <c r="D390" s="137"/>
      <c r="E390" s="137"/>
      <c r="F390" s="136" t="s">
        <v>683</v>
      </c>
      <c r="G390" s="137"/>
      <c r="H390" s="137"/>
      <c r="I390" s="137"/>
      <c r="J390" s="137"/>
      <c r="K390" s="137"/>
      <c r="L390" s="136" t="s">
        <v>1084</v>
      </c>
      <c r="M390" s="137"/>
      <c r="N390" s="137"/>
      <c r="O390" s="137"/>
      <c r="P390" s="137"/>
      <c r="Q390" s="137"/>
      <c r="R390" s="137"/>
      <c r="S390" s="137"/>
      <c r="T390" s="137"/>
      <c r="U390" s="137"/>
      <c r="V390" s="137"/>
      <c r="W390" s="137"/>
      <c r="X390" s="137"/>
      <c r="Y390" s="137"/>
      <c r="Z390" s="137"/>
      <c r="AA390" s="137"/>
      <c r="AB390" s="137"/>
      <c r="AC390" s="137"/>
      <c r="AD390" s="137"/>
      <c r="AE390" s="137"/>
      <c r="AF390" s="137"/>
      <c r="AG390" s="137"/>
      <c r="AH390" s="137"/>
      <c r="AI390" s="137"/>
      <c r="AJ390" s="137"/>
      <c r="AK390" s="137"/>
      <c r="AL390" s="137"/>
      <c r="AM390" s="137"/>
      <c r="AN390" s="137"/>
      <c r="AO390" s="137"/>
      <c r="AP390" s="137"/>
      <c r="AQ390" s="137"/>
      <c r="AR390" s="137"/>
      <c r="AS390" s="137"/>
      <c r="AT390" s="137"/>
      <c r="AU390" s="137"/>
      <c r="AV390" s="136" t="s">
        <v>6</v>
      </c>
      <c r="AW390" s="137"/>
      <c r="AX390" s="138" t="s">
        <v>6</v>
      </c>
      <c r="AY390" s="139"/>
      <c r="AZ390" s="139"/>
      <c r="BA390" s="139"/>
      <c r="BB390" s="139"/>
      <c r="BC390" s="138" t="s">
        <v>6</v>
      </c>
      <c r="BD390" s="139"/>
      <c r="BE390" s="139"/>
      <c r="BF390" s="139"/>
      <c r="BG390" s="139"/>
      <c r="BH390" s="139"/>
      <c r="BI390" s="139"/>
      <c r="BJ390" s="139"/>
      <c r="BK390" s="140">
        <f>SUM(BK391:BK407)</f>
        <v>0</v>
      </c>
      <c r="BL390" s="139"/>
      <c r="BM390" s="139"/>
      <c r="BN390" s="139"/>
      <c r="BO390" s="139"/>
      <c r="BP390" s="139"/>
      <c r="BQ390" s="139"/>
      <c r="BR390" s="139"/>
      <c r="BS390" s="136" t="s">
        <v>6</v>
      </c>
      <c r="BT390" s="137"/>
      <c r="BU390" s="137"/>
      <c r="BV390" s="137"/>
      <c r="BW390" s="137"/>
      <c r="BX390" s="137"/>
    </row>
    <row r="391" spans="1:253" ht="12.75">
      <c r="A391" s="132" t="s">
        <v>326</v>
      </c>
      <c r="B391" s="133"/>
      <c r="C391" s="132"/>
      <c r="D391" s="133"/>
      <c r="E391" s="133"/>
      <c r="F391" s="132" t="s">
        <v>684</v>
      </c>
      <c r="G391" s="133"/>
      <c r="H391" s="133"/>
      <c r="I391" s="133"/>
      <c r="J391" s="133"/>
      <c r="K391" s="133"/>
      <c r="L391" s="132" t="s">
        <v>1085</v>
      </c>
      <c r="M391" s="133"/>
      <c r="N391" s="133"/>
      <c r="O391" s="133"/>
      <c r="P391" s="133"/>
      <c r="Q391" s="133"/>
      <c r="R391" s="133"/>
      <c r="S391" s="133"/>
      <c r="T391" s="133"/>
      <c r="U391" s="133"/>
      <c r="V391" s="133"/>
      <c r="W391" s="133"/>
      <c r="X391" s="133"/>
      <c r="Y391" s="133"/>
      <c r="Z391" s="133"/>
      <c r="AA391" s="133"/>
      <c r="AB391" s="133"/>
      <c r="AC391" s="133"/>
      <c r="AD391" s="133"/>
      <c r="AE391" s="133"/>
      <c r="AF391" s="133"/>
      <c r="AG391" s="133"/>
      <c r="AH391" s="133"/>
      <c r="AI391" s="133"/>
      <c r="AJ391" s="133"/>
      <c r="AK391" s="133"/>
      <c r="AL391" s="133"/>
      <c r="AM391" s="133"/>
      <c r="AN391" s="133"/>
      <c r="AO391" s="133"/>
      <c r="AP391" s="133"/>
      <c r="AQ391" s="133"/>
      <c r="AR391" s="133"/>
      <c r="AS391" s="133"/>
      <c r="AT391" s="133"/>
      <c r="AU391" s="133"/>
      <c r="AV391" s="132" t="s">
        <v>1153</v>
      </c>
      <c r="AW391" s="133"/>
      <c r="AX391" s="134">
        <f>'Stavební rozpočet'!F392</f>
        <v>1</v>
      </c>
      <c r="AY391" s="135"/>
      <c r="AZ391" s="135"/>
      <c r="BA391" s="135"/>
      <c r="BB391" s="135"/>
      <c r="BC391" s="134">
        <f>'Stavební rozpočet'!G392</f>
        <v>0</v>
      </c>
      <c r="BD391" s="135"/>
      <c r="BE391" s="135"/>
      <c r="BF391" s="135"/>
      <c r="BG391" s="135"/>
      <c r="BH391" s="135"/>
      <c r="BI391" s="135"/>
      <c r="BJ391" s="135"/>
      <c r="BK391" s="134">
        <f>IR391*AX391+IS391*AX391</f>
        <v>0</v>
      </c>
      <c r="BL391" s="135"/>
      <c r="BM391" s="135"/>
      <c r="BN391" s="135"/>
      <c r="BO391" s="135"/>
      <c r="BP391" s="135"/>
      <c r="BQ391" s="135"/>
      <c r="BR391" s="135"/>
      <c r="BS391" s="132" t="s">
        <v>1177</v>
      </c>
      <c r="BT391" s="133"/>
      <c r="BU391" s="133"/>
      <c r="BV391" s="133"/>
      <c r="BW391" s="133"/>
      <c r="BX391" s="133"/>
      <c r="IR391" s="46">
        <f>BC391*0.84</f>
        <v>0</v>
      </c>
      <c r="IS391" s="46">
        <f>BC391*(1-0.84)</f>
        <v>0</v>
      </c>
    </row>
    <row r="392" spans="1:76" ht="12.75">
      <c r="A392" s="132"/>
      <c r="B392" s="133"/>
      <c r="C392" s="133"/>
      <c r="D392" s="133"/>
      <c r="E392" s="133"/>
      <c r="F392" s="133"/>
      <c r="G392" s="133"/>
      <c r="H392" s="133"/>
      <c r="I392" s="133"/>
      <c r="J392" s="133"/>
      <c r="K392" s="133"/>
      <c r="L392" s="141" t="s">
        <v>1086</v>
      </c>
      <c r="M392" s="142"/>
      <c r="N392" s="142"/>
      <c r="O392" s="142"/>
      <c r="P392" s="142"/>
      <c r="Q392" s="142"/>
      <c r="R392" s="142"/>
      <c r="S392" s="142"/>
      <c r="T392" s="142"/>
      <c r="U392" s="142"/>
      <c r="V392" s="142"/>
      <c r="W392" s="142"/>
      <c r="X392" s="142"/>
      <c r="Y392" s="142"/>
      <c r="Z392" s="142"/>
      <c r="AA392" s="142"/>
      <c r="AB392" s="142"/>
      <c r="AC392" s="142"/>
      <c r="AD392" s="142"/>
      <c r="AE392" s="142"/>
      <c r="AF392" s="142"/>
      <c r="AG392" s="142"/>
      <c r="AH392" s="142"/>
      <c r="AI392" s="142"/>
      <c r="AJ392" s="142"/>
      <c r="AK392" s="142"/>
      <c r="AL392" s="142"/>
      <c r="AM392" s="142"/>
      <c r="AN392" s="142"/>
      <c r="AO392" s="142"/>
      <c r="AP392" s="142"/>
      <c r="AQ392" s="142"/>
      <c r="AR392" s="142"/>
      <c r="AS392" s="142"/>
      <c r="AT392" s="142"/>
      <c r="AU392" s="142"/>
      <c r="AV392" s="132"/>
      <c r="AW392" s="133"/>
      <c r="AX392" s="133"/>
      <c r="AY392" s="133"/>
      <c r="AZ392" s="133"/>
      <c r="BA392" s="133"/>
      <c r="BB392" s="133"/>
      <c r="BC392" s="133"/>
      <c r="BD392" s="133"/>
      <c r="BE392" s="133"/>
      <c r="BF392" s="133"/>
      <c r="BG392" s="133"/>
      <c r="BH392" s="133"/>
      <c r="BI392" s="133"/>
      <c r="BJ392" s="133"/>
      <c r="BK392" s="133"/>
      <c r="BL392" s="133"/>
      <c r="BM392" s="133"/>
      <c r="BN392" s="133"/>
      <c r="BO392" s="133"/>
      <c r="BP392" s="133"/>
      <c r="BQ392" s="133"/>
      <c r="BR392" s="133"/>
      <c r="BS392" s="133"/>
      <c r="BT392" s="133"/>
      <c r="BU392" s="133"/>
      <c r="BV392" s="133"/>
      <c r="BW392" s="133"/>
      <c r="BX392" s="133"/>
    </row>
    <row r="393" spans="1:253" ht="12.75">
      <c r="A393" s="132" t="s">
        <v>327</v>
      </c>
      <c r="B393" s="133"/>
      <c r="C393" s="132"/>
      <c r="D393" s="133"/>
      <c r="E393" s="133"/>
      <c r="F393" s="132" t="s">
        <v>685</v>
      </c>
      <c r="G393" s="133"/>
      <c r="H393" s="133"/>
      <c r="I393" s="133"/>
      <c r="J393" s="133"/>
      <c r="K393" s="133"/>
      <c r="L393" s="132" t="s">
        <v>1087</v>
      </c>
      <c r="M393" s="133"/>
      <c r="N393" s="133"/>
      <c r="O393" s="133"/>
      <c r="P393" s="133"/>
      <c r="Q393" s="133"/>
      <c r="R393" s="133"/>
      <c r="S393" s="133"/>
      <c r="T393" s="133"/>
      <c r="U393" s="133"/>
      <c r="V393" s="133"/>
      <c r="W393" s="133"/>
      <c r="X393" s="133"/>
      <c r="Y393" s="133"/>
      <c r="Z393" s="133"/>
      <c r="AA393" s="133"/>
      <c r="AB393" s="133"/>
      <c r="AC393" s="133"/>
      <c r="AD393" s="133"/>
      <c r="AE393" s="133"/>
      <c r="AF393" s="133"/>
      <c r="AG393" s="133"/>
      <c r="AH393" s="133"/>
      <c r="AI393" s="133"/>
      <c r="AJ393" s="133"/>
      <c r="AK393" s="133"/>
      <c r="AL393" s="133"/>
      <c r="AM393" s="133"/>
      <c r="AN393" s="133"/>
      <c r="AO393" s="133"/>
      <c r="AP393" s="133"/>
      <c r="AQ393" s="133"/>
      <c r="AR393" s="133"/>
      <c r="AS393" s="133"/>
      <c r="AT393" s="133"/>
      <c r="AU393" s="133"/>
      <c r="AV393" s="132" t="s">
        <v>1153</v>
      </c>
      <c r="AW393" s="133"/>
      <c r="AX393" s="134">
        <f>'Stavební rozpočet'!F394</f>
        <v>1</v>
      </c>
      <c r="AY393" s="135"/>
      <c r="AZ393" s="135"/>
      <c r="BA393" s="135"/>
      <c r="BB393" s="135"/>
      <c r="BC393" s="134">
        <f>'Stavební rozpočet'!G394</f>
        <v>0</v>
      </c>
      <c r="BD393" s="135"/>
      <c r="BE393" s="135"/>
      <c r="BF393" s="135"/>
      <c r="BG393" s="135"/>
      <c r="BH393" s="135"/>
      <c r="BI393" s="135"/>
      <c r="BJ393" s="135"/>
      <c r="BK393" s="134">
        <f>IR393*AX393+IS393*AX393</f>
        <v>0</v>
      </c>
      <c r="BL393" s="135"/>
      <c r="BM393" s="135"/>
      <c r="BN393" s="135"/>
      <c r="BO393" s="135"/>
      <c r="BP393" s="135"/>
      <c r="BQ393" s="135"/>
      <c r="BR393" s="135"/>
      <c r="BS393" s="132" t="s">
        <v>1177</v>
      </c>
      <c r="BT393" s="133"/>
      <c r="BU393" s="133"/>
      <c r="BV393" s="133"/>
      <c r="BW393" s="133"/>
      <c r="BX393" s="133"/>
      <c r="IR393" s="46">
        <f>BC393*0.84</f>
        <v>0</v>
      </c>
      <c r="IS393" s="46">
        <f>BC393*(1-0.84)</f>
        <v>0</v>
      </c>
    </row>
    <row r="394" spans="1:76" ht="12.75">
      <c r="A394" s="132"/>
      <c r="B394" s="133"/>
      <c r="C394" s="133"/>
      <c r="D394" s="133"/>
      <c r="E394" s="133"/>
      <c r="F394" s="133"/>
      <c r="G394" s="133"/>
      <c r="H394" s="133"/>
      <c r="I394" s="133"/>
      <c r="J394" s="133"/>
      <c r="K394" s="133"/>
      <c r="L394" s="141" t="s">
        <v>1086</v>
      </c>
      <c r="M394" s="142"/>
      <c r="N394" s="142"/>
      <c r="O394" s="142"/>
      <c r="P394" s="142"/>
      <c r="Q394" s="142"/>
      <c r="R394" s="142"/>
      <c r="S394" s="142"/>
      <c r="T394" s="142"/>
      <c r="U394" s="142"/>
      <c r="V394" s="142"/>
      <c r="W394" s="142"/>
      <c r="X394" s="142"/>
      <c r="Y394" s="142"/>
      <c r="Z394" s="142"/>
      <c r="AA394" s="142"/>
      <c r="AB394" s="142"/>
      <c r="AC394" s="142"/>
      <c r="AD394" s="142"/>
      <c r="AE394" s="142"/>
      <c r="AF394" s="142"/>
      <c r="AG394" s="142"/>
      <c r="AH394" s="142"/>
      <c r="AI394" s="142"/>
      <c r="AJ394" s="142"/>
      <c r="AK394" s="142"/>
      <c r="AL394" s="142"/>
      <c r="AM394" s="142"/>
      <c r="AN394" s="142"/>
      <c r="AO394" s="142"/>
      <c r="AP394" s="142"/>
      <c r="AQ394" s="142"/>
      <c r="AR394" s="142"/>
      <c r="AS394" s="142"/>
      <c r="AT394" s="142"/>
      <c r="AU394" s="142"/>
      <c r="AV394" s="132"/>
      <c r="AW394" s="133"/>
      <c r="AX394" s="133"/>
      <c r="AY394" s="133"/>
      <c r="AZ394" s="133"/>
      <c r="BA394" s="133"/>
      <c r="BB394" s="133"/>
      <c r="BC394" s="133"/>
      <c r="BD394" s="133"/>
      <c r="BE394" s="133"/>
      <c r="BF394" s="133"/>
      <c r="BG394" s="133"/>
      <c r="BH394" s="133"/>
      <c r="BI394" s="133"/>
      <c r="BJ394" s="133"/>
      <c r="BK394" s="133"/>
      <c r="BL394" s="133"/>
      <c r="BM394" s="133"/>
      <c r="BN394" s="133"/>
      <c r="BO394" s="133"/>
      <c r="BP394" s="133"/>
      <c r="BQ394" s="133"/>
      <c r="BR394" s="133"/>
      <c r="BS394" s="133"/>
      <c r="BT394" s="133"/>
      <c r="BU394" s="133"/>
      <c r="BV394" s="133"/>
      <c r="BW394" s="133"/>
      <c r="BX394" s="133"/>
    </row>
    <row r="395" spans="1:253" ht="12.75">
      <c r="A395" s="132" t="s">
        <v>328</v>
      </c>
      <c r="B395" s="133"/>
      <c r="C395" s="132"/>
      <c r="D395" s="133"/>
      <c r="E395" s="133"/>
      <c r="F395" s="132" t="s">
        <v>686</v>
      </c>
      <c r="G395" s="133"/>
      <c r="H395" s="133"/>
      <c r="I395" s="133"/>
      <c r="J395" s="133"/>
      <c r="K395" s="133"/>
      <c r="L395" s="132" t="s">
        <v>1088</v>
      </c>
      <c r="M395" s="133"/>
      <c r="N395" s="133"/>
      <c r="O395" s="133"/>
      <c r="P395" s="133"/>
      <c r="Q395" s="133"/>
      <c r="R395" s="133"/>
      <c r="S395" s="133"/>
      <c r="T395" s="133"/>
      <c r="U395" s="133"/>
      <c r="V395" s="133"/>
      <c r="W395" s="133"/>
      <c r="X395" s="133"/>
      <c r="Y395" s="133"/>
      <c r="Z395" s="133"/>
      <c r="AA395" s="133"/>
      <c r="AB395" s="133"/>
      <c r="AC395" s="133"/>
      <c r="AD395" s="133"/>
      <c r="AE395" s="133"/>
      <c r="AF395" s="133"/>
      <c r="AG395" s="133"/>
      <c r="AH395" s="133"/>
      <c r="AI395" s="133"/>
      <c r="AJ395" s="133"/>
      <c r="AK395" s="133"/>
      <c r="AL395" s="133"/>
      <c r="AM395" s="133"/>
      <c r="AN395" s="133"/>
      <c r="AO395" s="133"/>
      <c r="AP395" s="133"/>
      <c r="AQ395" s="133"/>
      <c r="AR395" s="133"/>
      <c r="AS395" s="133"/>
      <c r="AT395" s="133"/>
      <c r="AU395" s="133"/>
      <c r="AV395" s="132" t="s">
        <v>1153</v>
      </c>
      <c r="AW395" s="133"/>
      <c r="AX395" s="134">
        <f>'Stavební rozpočet'!F396</f>
        <v>3</v>
      </c>
      <c r="AY395" s="135"/>
      <c r="AZ395" s="135"/>
      <c r="BA395" s="135"/>
      <c r="BB395" s="135"/>
      <c r="BC395" s="134">
        <f>'Stavební rozpočet'!G396</f>
        <v>0</v>
      </c>
      <c r="BD395" s="135"/>
      <c r="BE395" s="135"/>
      <c r="BF395" s="135"/>
      <c r="BG395" s="135"/>
      <c r="BH395" s="135"/>
      <c r="BI395" s="135"/>
      <c r="BJ395" s="135"/>
      <c r="BK395" s="134">
        <f>IR395*AX395+IS395*AX395</f>
        <v>0</v>
      </c>
      <c r="BL395" s="135"/>
      <c r="BM395" s="135"/>
      <c r="BN395" s="135"/>
      <c r="BO395" s="135"/>
      <c r="BP395" s="135"/>
      <c r="BQ395" s="135"/>
      <c r="BR395" s="135"/>
      <c r="BS395" s="132" t="s">
        <v>1177</v>
      </c>
      <c r="BT395" s="133"/>
      <c r="BU395" s="133"/>
      <c r="BV395" s="133"/>
      <c r="BW395" s="133"/>
      <c r="BX395" s="133"/>
      <c r="IR395" s="46">
        <f>BC395*0.84</f>
        <v>0</v>
      </c>
      <c r="IS395" s="46">
        <f>BC395*(1-0.84)</f>
        <v>0</v>
      </c>
    </row>
    <row r="396" spans="1:76" ht="12.75">
      <c r="A396" s="132"/>
      <c r="B396" s="133"/>
      <c r="C396" s="133"/>
      <c r="D396" s="133"/>
      <c r="E396" s="133"/>
      <c r="F396" s="133"/>
      <c r="G396" s="133"/>
      <c r="H396" s="133"/>
      <c r="I396" s="133"/>
      <c r="J396" s="133"/>
      <c r="K396" s="133"/>
      <c r="L396" s="141" t="s">
        <v>1086</v>
      </c>
      <c r="M396" s="142"/>
      <c r="N396" s="142"/>
      <c r="O396" s="142"/>
      <c r="P396" s="142"/>
      <c r="Q396" s="142"/>
      <c r="R396" s="142"/>
      <c r="S396" s="142"/>
      <c r="T396" s="142"/>
      <c r="U396" s="142"/>
      <c r="V396" s="142"/>
      <c r="W396" s="142"/>
      <c r="X396" s="142"/>
      <c r="Y396" s="142"/>
      <c r="Z396" s="142"/>
      <c r="AA396" s="142"/>
      <c r="AB396" s="142"/>
      <c r="AC396" s="142"/>
      <c r="AD396" s="142"/>
      <c r="AE396" s="142"/>
      <c r="AF396" s="142"/>
      <c r="AG396" s="142"/>
      <c r="AH396" s="142"/>
      <c r="AI396" s="142"/>
      <c r="AJ396" s="142"/>
      <c r="AK396" s="142"/>
      <c r="AL396" s="142"/>
      <c r="AM396" s="142"/>
      <c r="AN396" s="142"/>
      <c r="AO396" s="142"/>
      <c r="AP396" s="142"/>
      <c r="AQ396" s="142"/>
      <c r="AR396" s="142"/>
      <c r="AS396" s="142"/>
      <c r="AT396" s="142"/>
      <c r="AU396" s="142"/>
      <c r="AV396" s="132"/>
      <c r="AW396" s="133"/>
      <c r="AX396" s="133"/>
      <c r="AY396" s="133"/>
      <c r="AZ396" s="133"/>
      <c r="BA396" s="133"/>
      <c r="BB396" s="133"/>
      <c r="BC396" s="133"/>
      <c r="BD396" s="133"/>
      <c r="BE396" s="133"/>
      <c r="BF396" s="133"/>
      <c r="BG396" s="133"/>
      <c r="BH396" s="133"/>
      <c r="BI396" s="133"/>
      <c r="BJ396" s="133"/>
      <c r="BK396" s="133"/>
      <c r="BL396" s="133"/>
      <c r="BM396" s="133"/>
      <c r="BN396" s="133"/>
      <c r="BO396" s="133"/>
      <c r="BP396" s="133"/>
      <c r="BQ396" s="133"/>
      <c r="BR396" s="133"/>
      <c r="BS396" s="133"/>
      <c r="BT396" s="133"/>
      <c r="BU396" s="133"/>
      <c r="BV396" s="133"/>
      <c r="BW396" s="133"/>
      <c r="BX396" s="133"/>
    </row>
    <row r="397" spans="1:253" ht="12.75">
      <c r="A397" s="132" t="s">
        <v>329</v>
      </c>
      <c r="B397" s="133"/>
      <c r="C397" s="132"/>
      <c r="D397" s="133"/>
      <c r="E397" s="133"/>
      <c r="F397" s="132" t="s">
        <v>687</v>
      </c>
      <c r="G397" s="133"/>
      <c r="H397" s="133"/>
      <c r="I397" s="133"/>
      <c r="J397" s="133"/>
      <c r="K397" s="133"/>
      <c r="L397" s="132" t="s">
        <v>1089</v>
      </c>
      <c r="M397" s="133"/>
      <c r="N397" s="133"/>
      <c r="O397" s="133"/>
      <c r="P397" s="133"/>
      <c r="Q397" s="133"/>
      <c r="R397" s="133"/>
      <c r="S397" s="133"/>
      <c r="T397" s="133"/>
      <c r="U397" s="133"/>
      <c r="V397" s="133"/>
      <c r="W397" s="133"/>
      <c r="X397" s="133"/>
      <c r="Y397" s="133"/>
      <c r="Z397" s="133"/>
      <c r="AA397" s="133"/>
      <c r="AB397" s="133"/>
      <c r="AC397" s="133"/>
      <c r="AD397" s="133"/>
      <c r="AE397" s="133"/>
      <c r="AF397" s="133"/>
      <c r="AG397" s="133"/>
      <c r="AH397" s="133"/>
      <c r="AI397" s="133"/>
      <c r="AJ397" s="133"/>
      <c r="AK397" s="133"/>
      <c r="AL397" s="133"/>
      <c r="AM397" s="133"/>
      <c r="AN397" s="133"/>
      <c r="AO397" s="133"/>
      <c r="AP397" s="133"/>
      <c r="AQ397" s="133"/>
      <c r="AR397" s="133"/>
      <c r="AS397" s="133"/>
      <c r="AT397" s="133"/>
      <c r="AU397" s="133"/>
      <c r="AV397" s="132" t="s">
        <v>1153</v>
      </c>
      <c r="AW397" s="133"/>
      <c r="AX397" s="134">
        <f>'Stavební rozpočet'!F398</f>
        <v>6</v>
      </c>
      <c r="AY397" s="135"/>
      <c r="AZ397" s="135"/>
      <c r="BA397" s="135"/>
      <c r="BB397" s="135"/>
      <c r="BC397" s="134">
        <f>'Stavební rozpočet'!G398</f>
        <v>0</v>
      </c>
      <c r="BD397" s="135"/>
      <c r="BE397" s="135"/>
      <c r="BF397" s="135"/>
      <c r="BG397" s="135"/>
      <c r="BH397" s="135"/>
      <c r="BI397" s="135"/>
      <c r="BJ397" s="135"/>
      <c r="BK397" s="134">
        <f>IR397*AX397+IS397*AX397</f>
        <v>0</v>
      </c>
      <c r="BL397" s="135"/>
      <c r="BM397" s="135"/>
      <c r="BN397" s="135"/>
      <c r="BO397" s="135"/>
      <c r="BP397" s="135"/>
      <c r="BQ397" s="135"/>
      <c r="BR397" s="135"/>
      <c r="BS397" s="132" t="s">
        <v>1177</v>
      </c>
      <c r="BT397" s="133"/>
      <c r="BU397" s="133"/>
      <c r="BV397" s="133"/>
      <c r="BW397" s="133"/>
      <c r="BX397" s="133"/>
      <c r="IR397" s="46">
        <f>BC397*0.87</f>
        <v>0</v>
      </c>
      <c r="IS397" s="46">
        <f>BC397*(1-0.87)</f>
        <v>0</v>
      </c>
    </row>
    <row r="398" spans="1:76" ht="12.75">
      <c r="A398" s="132"/>
      <c r="B398" s="133"/>
      <c r="C398" s="133"/>
      <c r="D398" s="133"/>
      <c r="E398" s="133"/>
      <c r="F398" s="133"/>
      <c r="G398" s="133"/>
      <c r="H398" s="133"/>
      <c r="I398" s="133"/>
      <c r="J398" s="133"/>
      <c r="K398" s="133"/>
      <c r="L398" s="141" t="s">
        <v>1086</v>
      </c>
      <c r="M398" s="142"/>
      <c r="N398" s="142"/>
      <c r="O398" s="142"/>
      <c r="P398" s="142"/>
      <c r="Q398" s="142"/>
      <c r="R398" s="142"/>
      <c r="S398" s="142"/>
      <c r="T398" s="142"/>
      <c r="U398" s="142"/>
      <c r="V398" s="142"/>
      <c r="W398" s="142"/>
      <c r="X398" s="142"/>
      <c r="Y398" s="142"/>
      <c r="Z398" s="142"/>
      <c r="AA398" s="142"/>
      <c r="AB398" s="142"/>
      <c r="AC398" s="142"/>
      <c r="AD398" s="142"/>
      <c r="AE398" s="142"/>
      <c r="AF398" s="142"/>
      <c r="AG398" s="142"/>
      <c r="AH398" s="142"/>
      <c r="AI398" s="142"/>
      <c r="AJ398" s="142"/>
      <c r="AK398" s="142"/>
      <c r="AL398" s="142"/>
      <c r="AM398" s="142"/>
      <c r="AN398" s="142"/>
      <c r="AO398" s="142"/>
      <c r="AP398" s="142"/>
      <c r="AQ398" s="142"/>
      <c r="AR398" s="142"/>
      <c r="AS398" s="142"/>
      <c r="AT398" s="142"/>
      <c r="AU398" s="142"/>
      <c r="AV398" s="132"/>
      <c r="AW398" s="133"/>
      <c r="AX398" s="133"/>
      <c r="AY398" s="133"/>
      <c r="AZ398" s="133"/>
      <c r="BA398" s="133"/>
      <c r="BB398" s="133"/>
      <c r="BC398" s="133"/>
      <c r="BD398" s="133"/>
      <c r="BE398" s="133"/>
      <c r="BF398" s="133"/>
      <c r="BG398" s="133"/>
      <c r="BH398" s="133"/>
      <c r="BI398" s="133"/>
      <c r="BJ398" s="133"/>
      <c r="BK398" s="133"/>
      <c r="BL398" s="133"/>
      <c r="BM398" s="133"/>
      <c r="BN398" s="133"/>
      <c r="BO398" s="133"/>
      <c r="BP398" s="133"/>
      <c r="BQ398" s="133"/>
      <c r="BR398" s="133"/>
      <c r="BS398" s="133"/>
      <c r="BT398" s="133"/>
      <c r="BU398" s="133"/>
      <c r="BV398" s="133"/>
      <c r="BW398" s="133"/>
      <c r="BX398" s="133"/>
    </row>
    <row r="399" spans="1:253" ht="12.75">
      <c r="A399" s="132" t="s">
        <v>330</v>
      </c>
      <c r="B399" s="133"/>
      <c r="C399" s="132"/>
      <c r="D399" s="133"/>
      <c r="E399" s="133"/>
      <c r="F399" s="132" t="s">
        <v>688</v>
      </c>
      <c r="G399" s="133"/>
      <c r="H399" s="133"/>
      <c r="I399" s="133"/>
      <c r="J399" s="133"/>
      <c r="K399" s="133"/>
      <c r="L399" s="132" t="s">
        <v>1089</v>
      </c>
      <c r="M399" s="133"/>
      <c r="N399" s="133"/>
      <c r="O399" s="133"/>
      <c r="P399" s="133"/>
      <c r="Q399" s="133"/>
      <c r="R399" s="133"/>
      <c r="S399" s="133"/>
      <c r="T399" s="133"/>
      <c r="U399" s="133"/>
      <c r="V399" s="133"/>
      <c r="W399" s="133"/>
      <c r="X399" s="133"/>
      <c r="Y399" s="133"/>
      <c r="Z399" s="133"/>
      <c r="AA399" s="133"/>
      <c r="AB399" s="133"/>
      <c r="AC399" s="133"/>
      <c r="AD399" s="133"/>
      <c r="AE399" s="133"/>
      <c r="AF399" s="133"/>
      <c r="AG399" s="133"/>
      <c r="AH399" s="133"/>
      <c r="AI399" s="133"/>
      <c r="AJ399" s="133"/>
      <c r="AK399" s="133"/>
      <c r="AL399" s="133"/>
      <c r="AM399" s="133"/>
      <c r="AN399" s="133"/>
      <c r="AO399" s="133"/>
      <c r="AP399" s="133"/>
      <c r="AQ399" s="133"/>
      <c r="AR399" s="133"/>
      <c r="AS399" s="133"/>
      <c r="AT399" s="133"/>
      <c r="AU399" s="133"/>
      <c r="AV399" s="132" t="s">
        <v>1153</v>
      </c>
      <c r="AW399" s="133"/>
      <c r="AX399" s="134">
        <f>'Stavební rozpočet'!F400</f>
        <v>1</v>
      </c>
      <c r="AY399" s="135"/>
      <c r="AZ399" s="135"/>
      <c r="BA399" s="135"/>
      <c r="BB399" s="135"/>
      <c r="BC399" s="134">
        <f>'Stavební rozpočet'!G400</f>
        <v>0</v>
      </c>
      <c r="BD399" s="135"/>
      <c r="BE399" s="135"/>
      <c r="BF399" s="135"/>
      <c r="BG399" s="135"/>
      <c r="BH399" s="135"/>
      <c r="BI399" s="135"/>
      <c r="BJ399" s="135"/>
      <c r="BK399" s="134">
        <f>IR399*AX399+IS399*AX399</f>
        <v>0</v>
      </c>
      <c r="BL399" s="135"/>
      <c r="BM399" s="135"/>
      <c r="BN399" s="135"/>
      <c r="BO399" s="135"/>
      <c r="BP399" s="135"/>
      <c r="BQ399" s="135"/>
      <c r="BR399" s="135"/>
      <c r="BS399" s="132" t="s">
        <v>1177</v>
      </c>
      <c r="BT399" s="133"/>
      <c r="BU399" s="133"/>
      <c r="BV399" s="133"/>
      <c r="BW399" s="133"/>
      <c r="BX399" s="133"/>
      <c r="IR399" s="46">
        <f>BC399*0.87</f>
        <v>0</v>
      </c>
      <c r="IS399" s="46">
        <f>BC399*(1-0.87)</f>
        <v>0</v>
      </c>
    </row>
    <row r="400" spans="1:76" ht="12.75">
      <c r="A400" s="132"/>
      <c r="B400" s="133"/>
      <c r="C400" s="133"/>
      <c r="D400" s="133"/>
      <c r="E400" s="133"/>
      <c r="F400" s="133"/>
      <c r="G400" s="133"/>
      <c r="H400" s="133"/>
      <c r="I400" s="133"/>
      <c r="J400" s="133"/>
      <c r="K400" s="133"/>
      <c r="L400" s="141" t="s">
        <v>1086</v>
      </c>
      <c r="M400" s="142"/>
      <c r="N400" s="142"/>
      <c r="O400" s="142"/>
      <c r="P400" s="142"/>
      <c r="Q400" s="142"/>
      <c r="R400" s="142"/>
      <c r="S400" s="142"/>
      <c r="T400" s="142"/>
      <c r="U400" s="142"/>
      <c r="V400" s="142"/>
      <c r="W400" s="142"/>
      <c r="X400" s="142"/>
      <c r="Y400" s="142"/>
      <c r="Z400" s="142"/>
      <c r="AA400" s="142"/>
      <c r="AB400" s="142"/>
      <c r="AC400" s="142"/>
      <c r="AD400" s="142"/>
      <c r="AE400" s="142"/>
      <c r="AF400" s="142"/>
      <c r="AG400" s="142"/>
      <c r="AH400" s="142"/>
      <c r="AI400" s="142"/>
      <c r="AJ400" s="142"/>
      <c r="AK400" s="142"/>
      <c r="AL400" s="142"/>
      <c r="AM400" s="142"/>
      <c r="AN400" s="142"/>
      <c r="AO400" s="142"/>
      <c r="AP400" s="142"/>
      <c r="AQ400" s="142"/>
      <c r="AR400" s="142"/>
      <c r="AS400" s="142"/>
      <c r="AT400" s="142"/>
      <c r="AU400" s="142"/>
      <c r="AV400" s="132"/>
      <c r="AW400" s="133"/>
      <c r="AX400" s="133"/>
      <c r="AY400" s="133"/>
      <c r="AZ400" s="133"/>
      <c r="BA400" s="133"/>
      <c r="BB400" s="133"/>
      <c r="BC400" s="133"/>
      <c r="BD400" s="133"/>
      <c r="BE400" s="133"/>
      <c r="BF400" s="133"/>
      <c r="BG400" s="133"/>
      <c r="BH400" s="133"/>
      <c r="BI400" s="133"/>
      <c r="BJ400" s="133"/>
      <c r="BK400" s="133"/>
      <c r="BL400" s="133"/>
      <c r="BM400" s="133"/>
      <c r="BN400" s="133"/>
      <c r="BO400" s="133"/>
      <c r="BP400" s="133"/>
      <c r="BQ400" s="133"/>
      <c r="BR400" s="133"/>
      <c r="BS400" s="133"/>
      <c r="BT400" s="133"/>
      <c r="BU400" s="133"/>
      <c r="BV400" s="133"/>
      <c r="BW400" s="133"/>
      <c r="BX400" s="133"/>
    </row>
    <row r="401" spans="1:253" ht="12.75">
      <c r="A401" s="132" t="s">
        <v>331</v>
      </c>
      <c r="B401" s="133"/>
      <c r="C401" s="132"/>
      <c r="D401" s="133"/>
      <c r="E401" s="133"/>
      <c r="F401" s="132" t="s">
        <v>689</v>
      </c>
      <c r="G401" s="133"/>
      <c r="H401" s="133"/>
      <c r="I401" s="133"/>
      <c r="J401" s="133"/>
      <c r="K401" s="133"/>
      <c r="L401" s="132" t="s">
        <v>1090</v>
      </c>
      <c r="M401" s="133"/>
      <c r="N401" s="133"/>
      <c r="O401" s="133"/>
      <c r="P401" s="133"/>
      <c r="Q401" s="133"/>
      <c r="R401" s="133"/>
      <c r="S401" s="133"/>
      <c r="T401" s="133"/>
      <c r="U401" s="133"/>
      <c r="V401" s="133"/>
      <c r="W401" s="133"/>
      <c r="X401" s="133"/>
      <c r="Y401" s="133"/>
      <c r="Z401" s="133"/>
      <c r="AA401" s="133"/>
      <c r="AB401" s="133"/>
      <c r="AC401" s="133"/>
      <c r="AD401" s="133"/>
      <c r="AE401" s="133"/>
      <c r="AF401" s="133"/>
      <c r="AG401" s="133"/>
      <c r="AH401" s="133"/>
      <c r="AI401" s="133"/>
      <c r="AJ401" s="133"/>
      <c r="AK401" s="133"/>
      <c r="AL401" s="133"/>
      <c r="AM401" s="133"/>
      <c r="AN401" s="133"/>
      <c r="AO401" s="133"/>
      <c r="AP401" s="133"/>
      <c r="AQ401" s="133"/>
      <c r="AR401" s="133"/>
      <c r="AS401" s="133"/>
      <c r="AT401" s="133"/>
      <c r="AU401" s="133"/>
      <c r="AV401" s="132" t="s">
        <v>1153</v>
      </c>
      <c r="AW401" s="133"/>
      <c r="AX401" s="134">
        <f>'Stavební rozpočet'!F402</f>
        <v>8</v>
      </c>
      <c r="AY401" s="135"/>
      <c r="AZ401" s="135"/>
      <c r="BA401" s="135"/>
      <c r="BB401" s="135"/>
      <c r="BC401" s="134">
        <f>'Stavební rozpočet'!G402</f>
        <v>0</v>
      </c>
      <c r="BD401" s="135"/>
      <c r="BE401" s="135"/>
      <c r="BF401" s="135"/>
      <c r="BG401" s="135"/>
      <c r="BH401" s="135"/>
      <c r="BI401" s="135"/>
      <c r="BJ401" s="135"/>
      <c r="BK401" s="134">
        <f>IR401*AX401+IS401*AX401</f>
        <v>0</v>
      </c>
      <c r="BL401" s="135"/>
      <c r="BM401" s="135"/>
      <c r="BN401" s="135"/>
      <c r="BO401" s="135"/>
      <c r="BP401" s="135"/>
      <c r="BQ401" s="135"/>
      <c r="BR401" s="135"/>
      <c r="BS401" s="132" t="s">
        <v>1177</v>
      </c>
      <c r="BT401" s="133"/>
      <c r="BU401" s="133"/>
      <c r="BV401" s="133"/>
      <c r="BW401" s="133"/>
      <c r="BX401" s="133"/>
      <c r="IR401" s="46">
        <f>BC401*0.87</f>
        <v>0</v>
      </c>
      <c r="IS401" s="46">
        <f>BC401*(1-0.87)</f>
        <v>0</v>
      </c>
    </row>
    <row r="402" spans="1:76" ht="12.75">
      <c r="A402" s="132"/>
      <c r="B402" s="133"/>
      <c r="C402" s="133"/>
      <c r="D402" s="133"/>
      <c r="E402" s="133"/>
      <c r="F402" s="133"/>
      <c r="G402" s="133"/>
      <c r="H402" s="133"/>
      <c r="I402" s="133"/>
      <c r="J402" s="133"/>
      <c r="K402" s="133"/>
      <c r="L402" s="141" t="s">
        <v>1091</v>
      </c>
      <c r="M402" s="142"/>
      <c r="N402" s="142"/>
      <c r="O402" s="142"/>
      <c r="P402" s="142"/>
      <c r="Q402" s="142"/>
      <c r="R402" s="142"/>
      <c r="S402" s="142"/>
      <c r="T402" s="142"/>
      <c r="U402" s="142"/>
      <c r="V402" s="142"/>
      <c r="W402" s="142"/>
      <c r="X402" s="142"/>
      <c r="Y402" s="142"/>
      <c r="Z402" s="142"/>
      <c r="AA402" s="142"/>
      <c r="AB402" s="142"/>
      <c r="AC402" s="142"/>
      <c r="AD402" s="142"/>
      <c r="AE402" s="142"/>
      <c r="AF402" s="142"/>
      <c r="AG402" s="142"/>
      <c r="AH402" s="142"/>
      <c r="AI402" s="142"/>
      <c r="AJ402" s="142"/>
      <c r="AK402" s="142"/>
      <c r="AL402" s="142"/>
      <c r="AM402" s="142"/>
      <c r="AN402" s="142"/>
      <c r="AO402" s="142"/>
      <c r="AP402" s="142"/>
      <c r="AQ402" s="142"/>
      <c r="AR402" s="142"/>
      <c r="AS402" s="142"/>
      <c r="AT402" s="142"/>
      <c r="AU402" s="142"/>
      <c r="AV402" s="132"/>
      <c r="AW402" s="133"/>
      <c r="AX402" s="133"/>
      <c r="AY402" s="133"/>
      <c r="AZ402" s="133"/>
      <c r="BA402" s="133"/>
      <c r="BB402" s="133"/>
      <c r="BC402" s="133"/>
      <c r="BD402" s="133"/>
      <c r="BE402" s="133"/>
      <c r="BF402" s="133"/>
      <c r="BG402" s="133"/>
      <c r="BH402" s="133"/>
      <c r="BI402" s="133"/>
      <c r="BJ402" s="133"/>
      <c r="BK402" s="133"/>
      <c r="BL402" s="133"/>
      <c r="BM402" s="133"/>
      <c r="BN402" s="133"/>
      <c r="BO402" s="133"/>
      <c r="BP402" s="133"/>
      <c r="BQ402" s="133"/>
      <c r="BR402" s="133"/>
      <c r="BS402" s="133"/>
      <c r="BT402" s="133"/>
      <c r="BU402" s="133"/>
      <c r="BV402" s="133"/>
      <c r="BW402" s="133"/>
      <c r="BX402" s="133"/>
    </row>
    <row r="403" spans="1:253" ht="12.75">
      <c r="A403" s="132" t="s">
        <v>332</v>
      </c>
      <c r="B403" s="133"/>
      <c r="C403" s="132"/>
      <c r="D403" s="133"/>
      <c r="E403" s="133"/>
      <c r="F403" s="132" t="s">
        <v>690</v>
      </c>
      <c r="G403" s="133"/>
      <c r="H403" s="133"/>
      <c r="I403" s="133"/>
      <c r="J403" s="133"/>
      <c r="K403" s="133"/>
      <c r="L403" s="132" t="s">
        <v>1092</v>
      </c>
      <c r="M403" s="133"/>
      <c r="N403" s="133"/>
      <c r="O403" s="133"/>
      <c r="P403" s="133"/>
      <c r="Q403" s="133"/>
      <c r="R403" s="133"/>
      <c r="S403" s="133"/>
      <c r="T403" s="133"/>
      <c r="U403" s="133"/>
      <c r="V403" s="133"/>
      <c r="W403" s="133"/>
      <c r="X403" s="133"/>
      <c r="Y403" s="133"/>
      <c r="Z403" s="133"/>
      <c r="AA403" s="133"/>
      <c r="AB403" s="133"/>
      <c r="AC403" s="133"/>
      <c r="AD403" s="133"/>
      <c r="AE403" s="133"/>
      <c r="AF403" s="133"/>
      <c r="AG403" s="133"/>
      <c r="AH403" s="133"/>
      <c r="AI403" s="133"/>
      <c r="AJ403" s="133"/>
      <c r="AK403" s="133"/>
      <c r="AL403" s="133"/>
      <c r="AM403" s="133"/>
      <c r="AN403" s="133"/>
      <c r="AO403" s="133"/>
      <c r="AP403" s="133"/>
      <c r="AQ403" s="133"/>
      <c r="AR403" s="133"/>
      <c r="AS403" s="133"/>
      <c r="AT403" s="133"/>
      <c r="AU403" s="133"/>
      <c r="AV403" s="132" t="s">
        <v>1153</v>
      </c>
      <c r="AW403" s="133"/>
      <c r="AX403" s="134">
        <f>'Stavební rozpočet'!F404</f>
        <v>1</v>
      </c>
      <c r="AY403" s="135"/>
      <c r="AZ403" s="135"/>
      <c r="BA403" s="135"/>
      <c r="BB403" s="135"/>
      <c r="BC403" s="134">
        <f>'Stavební rozpočet'!G404</f>
        <v>0</v>
      </c>
      <c r="BD403" s="135"/>
      <c r="BE403" s="135"/>
      <c r="BF403" s="135"/>
      <c r="BG403" s="135"/>
      <c r="BH403" s="135"/>
      <c r="BI403" s="135"/>
      <c r="BJ403" s="135"/>
      <c r="BK403" s="134">
        <f>IR403*AX403+IS403*AX403</f>
        <v>0</v>
      </c>
      <c r="BL403" s="135"/>
      <c r="BM403" s="135"/>
      <c r="BN403" s="135"/>
      <c r="BO403" s="135"/>
      <c r="BP403" s="135"/>
      <c r="BQ403" s="135"/>
      <c r="BR403" s="135"/>
      <c r="BS403" s="132" t="s">
        <v>1177</v>
      </c>
      <c r="BT403" s="133"/>
      <c r="BU403" s="133"/>
      <c r="BV403" s="133"/>
      <c r="BW403" s="133"/>
      <c r="BX403" s="133"/>
      <c r="IR403" s="46">
        <f>BC403*0.87</f>
        <v>0</v>
      </c>
      <c r="IS403" s="46">
        <f>BC403*(1-0.87)</f>
        <v>0</v>
      </c>
    </row>
    <row r="404" spans="1:76" ht="12.75">
      <c r="A404" s="132"/>
      <c r="B404" s="133"/>
      <c r="C404" s="133"/>
      <c r="D404" s="133"/>
      <c r="E404" s="133"/>
      <c r="F404" s="133"/>
      <c r="G404" s="133"/>
      <c r="H404" s="133"/>
      <c r="I404" s="133"/>
      <c r="J404" s="133"/>
      <c r="K404" s="133"/>
      <c r="L404" s="141" t="s">
        <v>1091</v>
      </c>
      <c r="M404" s="142"/>
      <c r="N404" s="142"/>
      <c r="O404" s="142"/>
      <c r="P404" s="142"/>
      <c r="Q404" s="142"/>
      <c r="R404" s="142"/>
      <c r="S404" s="142"/>
      <c r="T404" s="142"/>
      <c r="U404" s="142"/>
      <c r="V404" s="142"/>
      <c r="W404" s="142"/>
      <c r="X404" s="142"/>
      <c r="Y404" s="142"/>
      <c r="Z404" s="142"/>
      <c r="AA404" s="142"/>
      <c r="AB404" s="142"/>
      <c r="AC404" s="142"/>
      <c r="AD404" s="142"/>
      <c r="AE404" s="142"/>
      <c r="AF404" s="142"/>
      <c r="AG404" s="142"/>
      <c r="AH404" s="142"/>
      <c r="AI404" s="142"/>
      <c r="AJ404" s="142"/>
      <c r="AK404" s="142"/>
      <c r="AL404" s="142"/>
      <c r="AM404" s="142"/>
      <c r="AN404" s="142"/>
      <c r="AO404" s="142"/>
      <c r="AP404" s="142"/>
      <c r="AQ404" s="142"/>
      <c r="AR404" s="142"/>
      <c r="AS404" s="142"/>
      <c r="AT404" s="142"/>
      <c r="AU404" s="142"/>
      <c r="AV404" s="132"/>
      <c r="AW404" s="133"/>
      <c r="AX404" s="133"/>
      <c r="AY404" s="133"/>
      <c r="AZ404" s="133"/>
      <c r="BA404" s="133"/>
      <c r="BB404" s="133"/>
      <c r="BC404" s="133"/>
      <c r="BD404" s="133"/>
      <c r="BE404" s="133"/>
      <c r="BF404" s="133"/>
      <c r="BG404" s="133"/>
      <c r="BH404" s="133"/>
      <c r="BI404" s="133"/>
      <c r="BJ404" s="133"/>
      <c r="BK404" s="133"/>
      <c r="BL404" s="133"/>
      <c r="BM404" s="133"/>
      <c r="BN404" s="133"/>
      <c r="BO404" s="133"/>
      <c r="BP404" s="133"/>
      <c r="BQ404" s="133"/>
      <c r="BR404" s="133"/>
      <c r="BS404" s="133"/>
      <c r="BT404" s="133"/>
      <c r="BU404" s="133"/>
      <c r="BV404" s="133"/>
      <c r="BW404" s="133"/>
      <c r="BX404" s="133"/>
    </row>
    <row r="405" spans="1:253" ht="12.75">
      <c r="A405" s="132" t="s">
        <v>333</v>
      </c>
      <c r="B405" s="133"/>
      <c r="C405" s="132"/>
      <c r="D405" s="133"/>
      <c r="E405" s="133"/>
      <c r="F405" s="132" t="s">
        <v>691</v>
      </c>
      <c r="G405" s="133"/>
      <c r="H405" s="133"/>
      <c r="I405" s="133"/>
      <c r="J405" s="133"/>
      <c r="K405" s="133"/>
      <c r="L405" s="132" t="s">
        <v>1093</v>
      </c>
      <c r="M405" s="133"/>
      <c r="N405" s="133"/>
      <c r="O405" s="133"/>
      <c r="P405" s="133"/>
      <c r="Q405" s="133"/>
      <c r="R405" s="133"/>
      <c r="S405" s="133"/>
      <c r="T405" s="133"/>
      <c r="U405" s="133"/>
      <c r="V405" s="133"/>
      <c r="W405" s="133"/>
      <c r="X405" s="133"/>
      <c r="Y405" s="133"/>
      <c r="Z405" s="133"/>
      <c r="AA405" s="133"/>
      <c r="AB405" s="133"/>
      <c r="AC405" s="133"/>
      <c r="AD405" s="133"/>
      <c r="AE405" s="133"/>
      <c r="AF405" s="133"/>
      <c r="AG405" s="133"/>
      <c r="AH405" s="133"/>
      <c r="AI405" s="133"/>
      <c r="AJ405" s="133"/>
      <c r="AK405" s="133"/>
      <c r="AL405" s="133"/>
      <c r="AM405" s="133"/>
      <c r="AN405" s="133"/>
      <c r="AO405" s="133"/>
      <c r="AP405" s="133"/>
      <c r="AQ405" s="133"/>
      <c r="AR405" s="133"/>
      <c r="AS405" s="133"/>
      <c r="AT405" s="133"/>
      <c r="AU405" s="133"/>
      <c r="AV405" s="132" t="s">
        <v>1153</v>
      </c>
      <c r="AW405" s="133"/>
      <c r="AX405" s="134">
        <f>'Stavební rozpočet'!F406</f>
        <v>3</v>
      </c>
      <c r="AY405" s="135"/>
      <c r="AZ405" s="135"/>
      <c r="BA405" s="135"/>
      <c r="BB405" s="135"/>
      <c r="BC405" s="134">
        <f>'Stavební rozpočet'!G406</f>
        <v>0</v>
      </c>
      <c r="BD405" s="135"/>
      <c r="BE405" s="135"/>
      <c r="BF405" s="135"/>
      <c r="BG405" s="135"/>
      <c r="BH405" s="135"/>
      <c r="BI405" s="135"/>
      <c r="BJ405" s="135"/>
      <c r="BK405" s="134">
        <f>IR405*AX405+IS405*AX405</f>
        <v>0</v>
      </c>
      <c r="BL405" s="135"/>
      <c r="BM405" s="135"/>
      <c r="BN405" s="135"/>
      <c r="BO405" s="135"/>
      <c r="BP405" s="135"/>
      <c r="BQ405" s="135"/>
      <c r="BR405" s="135"/>
      <c r="BS405" s="132" t="s">
        <v>1177</v>
      </c>
      <c r="BT405" s="133"/>
      <c r="BU405" s="133"/>
      <c r="BV405" s="133"/>
      <c r="BW405" s="133"/>
      <c r="BX405" s="133"/>
      <c r="IR405" s="46">
        <f>BC405*0.87</f>
        <v>0</v>
      </c>
      <c r="IS405" s="46">
        <f>BC405*(1-0.87)</f>
        <v>0</v>
      </c>
    </row>
    <row r="406" spans="1:76" ht="12.75">
      <c r="A406" s="132"/>
      <c r="B406" s="133"/>
      <c r="C406" s="133"/>
      <c r="D406" s="133"/>
      <c r="E406" s="133"/>
      <c r="F406" s="133"/>
      <c r="G406" s="133"/>
      <c r="H406" s="133"/>
      <c r="I406" s="133"/>
      <c r="J406" s="133"/>
      <c r="K406" s="133"/>
      <c r="L406" s="141" t="s">
        <v>1086</v>
      </c>
      <c r="M406" s="142"/>
      <c r="N406" s="142"/>
      <c r="O406" s="142"/>
      <c r="P406" s="142"/>
      <c r="Q406" s="142"/>
      <c r="R406" s="142"/>
      <c r="S406" s="142"/>
      <c r="T406" s="142"/>
      <c r="U406" s="142"/>
      <c r="V406" s="142"/>
      <c r="W406" s="142"/>
      <c r="X406" s="142"/>
      <c r="Y406" s="142"/>
      <c r="Z406" s="142"/>
      <c r="AA406" s="142"/>
      <c r="AB406" s="142"/>
      <c r="AC406" s="142"/>
      <c r="AD406" s="142"/>
      <c r="AE406" s="142"/>
      <c r="AF406" s="142"/>
      <c r="AG406" s="142"/>
      <c r="AH406" s="142"/>
      <c r="AI406" s="142"/>
      <c r="AJ406" s="142"/>
      <c r="AK406" s="142"/>
      <c r="AL406" s="142"/>
      <c r="AM406" s="142"/>
      <c r="AN406" s="142"/>
      <c r="AO406" s="142"/>
      <c r="AP406" s="142"/>
      <c r="AQ406" s="142"/>
      <c r="AR406" s="142"/>
      <c r="AS406" s="142"/>
      <c r="AT406" s="142"/>
      <c r="AU406" s="142"/>
      <c r="AV406" s="132"/>
      <c r="AW406" s="133"/>
      <c r="AX406" s="133"/>
      <c r="AY406" s="133"/>
      <c r="AZ406" s="133"/>
      <c r="BA406" s="133"/>
      <c r="BB406" s="133"/>
      <c r="BC406" s="133"/>
      <c r="BD406" s="133"/>
      <c r="BE406" s="133"/>
      <c r="BF406" s="133"/>
      <c r="BG406" s="133"/>
      <c r="BH406" s="133"/>
      <c r="BI406" s="133"/>
      <c r="BJ406" s="133"/>
      <c r="BK406" s="133"/>
      <c r="BL406" s="133"/>
      <c r="BM406" s="133"/>
      <c r="BN406" s="133"/>
      <c r="BO406" s="133"/>
      <c r="BP406" s="133"/>
      <c r="BQ406" s="133"/>
      <c r="BR406" s="133"/>
      <c r="BS406" s="133"/>
      <c r="BT406" s="133"/>
      <c r="BU406" s="133"/>
      <c r="BV406" s="133"/>
      <c r="BW406" s="133"/>
      <c r="BX406" s="133"/>
    </row>
    <row r="407" spans="1:253" ht="12.75">
      <c r="A407" s="132" t="s">
        <v>334</v>
      </c>
      <c r="B407" s="133"/>
      <c r="C407" s="132"/>
      <c r="D407" s="133"/>
      <c r="E407" s="133"/>
      <c r="F407" s="132" t="s">
        <v>692</v>
      </c>
      <c r="G407" s="133"/>
      <c r="H407" s="133"/>
      <c r="I407" s="133"/>
      <c r="J407" s="133"/>
      <c r="K407" s="133"/>
      <c r="L407" s="132" t="s">
        <v>1094</v>
      </c>
      <c r="M407" s="133"/>
      <c r="N407" s="133"/>
      <c r="O407" s="133"/>
      <c r="P407" s="133"/>
      <c r="Q407" s="133"/>
      <c r="R407" s="133"/>
      <c r="S407" s="133"/>
      <c r="T407" s="133"/>
      <c r="U407" s="133"/>
      <c r="V407" s="133"/>
      <c r="W407" s="133"/>
      <c r="X407" s="133"/>
      <c r="Y407" s="133"/>
      <c r="Z407" s="133"/>
      <c r="AA407" s="133"/>
      <c r="AB407" s="133"/>
      <c r="AC407" s="133"/>
      <c r="AD407" s="133"/>
      <c r="AE407" s="133"/>
      <c r="AF407" s="133"/>
      <c r="AG407" s="133"/>
      <c r="AH407" s="133"/>
      <c r="AI407" s="133"/>
      <c r="AJ407" s="133"/>
      <c r="AK407" s="133"/>
      <c r="AL407" s="133"/>
      <c r="AM407" s="133"/>
      <c r="AN407" s="133"/>
      <c r="AO407" s="133"/>
      <c r="AP407" s="133"/>
      <c r="AQ407" s="133"/>
      <c r="AR407" s="133"/>
      <c r="AS407" s="133"/>
      <c r="AT407" s="133"/>
      <c r="AU407" s="133"/>
      <c r="AV407" s="132" t="s">
        <v>1152</v>
      </c>
      <c r="AW407" s="133"/>
      <c r="AX407" s="134">
        <f>'Stavební rozpočet'!F408</f>
        <v>1.687</v>
      </c>
      <c r="AY407" s="135"/>
      <c r="AZ407" s="135"/>
      <c r="BA407" s="135"/>
      <c r="BB407" s="135"/>
      <c r="BC407" s="134">
        <f>'Stavební rozpočet'!G408</f>
        <v>0</v>
      </c>
      <c r="BD407" s="135"/>
      <c r="BE407" s="135"/>
      <c r="BF407" s="135"/>
      <c r="BG407" s="135"/>
      <c r="BH407" s="135"/>
      <c r="BI407" s="135"/>
      <c r="BJ407" s="135"/>
      <c r="BK407" s="134">
        <f>IR407*AX407+IS407*AX407</f>
        <v>0</v>
      </c>
      <c r="BL407" s="135"/>
      <c r="BM407" s="135"/>
      <c r="BN407" s="135"/>
      <c r="BO407" s="135"/>
      <c r="BP407" s="135"/>
      <c r="BQ407" s="135"/>
      <c r="BR407" s="135"/>
      <c r="BS407" s="132" t="s">
        <v>1177</v>
      </c>
      <c r="BT407" s="133"/>
      <c r="BU407" s="133"/>
      <c r="BV407" s="133"/>
      <c r="BW407" s="133"/>
      <c r="BX407" s="133"/>
      <c r="IR407" s="46">
        <f>BC407*0</f>
        <v>0</v>
      </c>
      <c r="IS407" s="46">
        <f>BC407*(1-0)</f>
        <v>0</v>
      </c>
    </row>
    <row r="408" spans="1:76" ht="12.75">
      <c r="A408" s="136" t="s">
        <v>6</v>
      </c>
      <c r="B408" s="137"/>
      <c r="C408" s="136" t="s">
        <v>6</v>
      </c>
      <c r="D408" s="137"/>
      <c r="E408" s="137"/>
      <c r="F408" s="136" t="s">
        <v>693</v>
      </c>
      <c r="G408" s="137"/>
      <c r="H408" s="137"/>
      <c r="I408" s="137"/>
      <c r="J408" s="137"/>
      <c r="K408" s="137"/>
      <c r="L408" s="136" t="s">
        <v>1095</v>
      </c>
      <c r="M408" s="137"/>
      <c r="N408" s="137"/>
      <c r="O408" s="137"/>
      <c r="P408" s="137"/>
      <c r="Q408" s="137"/>
      <c r="R408" s="137"/>
      <c r="S408" s="137"/>
      <c r="T408" s="137"/>
      <c r="U408" s="137"/>
      <c r="V408" s="137"/>
      <c r="W408" s="137"/>
      <c r="X408" s="137"/>
      <c r="Y408" s="137"/>
      <c r="Z408" s="137"/>
      <c r="AA408" s="137"/>
      <c r="AB408" s="137"/>
      <c r="AC408" s="137"/>
      <c r="AD408" s="137"/>
      <c r="AE408" s="137"/>
      <c r="AF408" s="137"/>
      <c r="AG408" s="137"/>
      <c r="AH408" s="137"/>
      <c r="AI408" s="137"/>
      <c r="AJ408" s="137"/>
      <c r="AK408" s="137"/>
      <c r="AL408" s="137"/>
      <c r="AM408" s="137"/>
      <c r="AN408" s="137"/>
      <c r="AO408" s="137"/>
      <c r="AP408" s="137"/>
      <c r="AQ408" s="137"/>
      <c r="AR408" s="137"/>
      <c r="AS408" s="137"/>
      <c r="AT408" s="137"/>
      <c r="AU408" s="137"/>
      <c r="AV408" s="136" t="s">
        <v>6</v>
      </c>
      <c r="AW408" s="137"/>
      <c r="AX408" s="138" t="s">
        <v>6</v>
      </c>
      <c r="AY408" s="139"/>
      <c r="AZ408" s="139"/>
      <c r="BA408" s="139"/>
      <c r="BB408" s="139"/>
      <c r="BC408" s="138" t="s">
        <v>6</v>
      </c>
      <c r="BD408" s="139"/>
      <c r="BE408" s="139"/>
      <c r="BF408" s="139"/>
      <c r="BG408" s="139"/>
      <c r="BH408" s="139"/>
      <c r="BI408" s="139"/>
      <c r="BJ408" s="139"/>
      <c r="BK408" s="140">
        <f>SUM(BK409:BK420)</f>
        <v>0</v>
      </c>
      <c r="BL408" s="139"/>
      <c r="BM408" s="139"/>
      <c r="BN408" s="139"/>
      <c r="BO408" s="139"/>
      <c r="BP408" s="139"/>
      <c r="BQ408" s="139"/>
      <c r="BR408" s="139"/>
      <c r="BS408" s="136" t="s">
        <v>6</v>
      </c>
      <c r="BT408" s="137"/>
      <c r="BU408" s="137"/>
      <c r="BV408" s="137"/>
      <c r="BW408" s="137"/>
      <c r="BX408" s="137"/>
    </row>
    <row r="409" spans="1:253" ht="12.75">
      <c r="A409" s="132" t="s">
        <v>335</v>
      </c>
      <c r="B409" s="133"/>
      <c r="C409" s="132"/>
      <c r="D409" s="133"/>
      <c r="E409" s="133"/>
      <c r="F409" s="132" t="s">
        <v>694</v>
      </c>
      <c r="G409" s="133"/>
      <c r="H409" s="133"/>
      <c r="I409" s="133"/>
      <c r="J409" s="133"/>
      <c r="K409" s="133"/>
      <c r="L409" s="132" t="s">
        <v>1096</v>
      </c>
      <c r="M409" s="133"/>
      <c r="N409" s="133"/>
      <c r="O409" s="133"/>
      <c r="P409" s="133"/>
      <c r="Q409" s="133"/>
      <c r="R409" s="133"/>
      <c r="S409" s="133"/>
      <c r="T409" s="133"/>
      <c r="U409" s="133"/>
      <c r="V409" s="133"/>
      <c r="W409" s="133"/>
      <c r="X409" s="133"/>
      <c r="Y409" s="133"/>
      <c r="Z409" s="133"/>
      <c r="AA409" s="133"/>
      <c r="AB409" s="133"/>
      <c r="AC409" s="133"/>
      <c r="AD409" s="133"/>
      <c r="AE409" s="133"/>
      <c r="AF409" s="133"/>
      <c r="AG409" s="133"/>
      <c r="AH409" s="133"/>
      <c r="AI409" s="133"/>
      <c r="AJ409" s="133"/>
      <c r="AK409" s="133"/>
      <c r="AL409" s="133"/>
      <c r="AM409" s="133"/>
      <c r="AN409" s="133"/>
      <c r="AO409" s="133"/>
      <c r="AP409" s="133"/>
      <c r="AQ409" s="133"/>
      <c r="AR409" s="133"/>
      <c r="AS409" s="133"/>
      <c r="AT409" s="133"/>
      <c r="AU409" s="133"/>
      <c r="AV409" s="132" t="s">
        <v>1161</v>
      </c>
      <c r="AW409" s="133"/>
      <c r="AX409" s="134">
        <f>'Stavební rozpočet'!F410</f>
        <v>1313</v>
      </c>
      <c r="AY409" s="135"/>
      <c r="AZ409" s="135"/>
      <c r="BA409" s="135"/>
      <c r="BB409" s="135"/>
      <c r="BC409" s="134">
        <f>'Stavební rozpočet'!G410</f>
        <v>0</v>
      </c>
      <c r="BD409" s="135"/>
      <c r="BE409" s="135"/>
      <c r="BF409" s="135"/>
      <c r="BG409" s="135"/>
      <c r="BH409" s="135"/>
      <c r="BI409" s="135"/>
      <c r="BJ409" s="135"/>
      <c r="BK409" s="134">
        <f>IR409*AX409+IS409*AX409</f>
        <v>0</v>
      </c>
      <c r="BL409" s="135"/>
      <c r="BM409" s="135"/>
      <c r="BN409" s="135"/>
      <c r="BO409" s="135"/>
      <c r="BP409" s="135"/>
      <c r="BQ409" s="135"/>
      <c r="BR409" s="135"/>
      <c r="BS409" s="132" t="s">
        <v>1177</v>
      </c>
      <c r="BT409" s="133"/>
      <c r="BU409" s="133"/>
      <c r="BV409" s="133"/>
      <c r="BW409" s="133"/>
      <c r="BX409" s="133"/>
      <c r="IR409" s="46">
        <f>BC409*0.74</f>
        <v>0</v>
      </c>
      <c r="IS409" s="46">
        <f>BC409*(1-0.74)</f>
        <v>0</v>
      </c>
    </row>
    <row r="410" spans="1:76" ht="12.75">
      <c r="A410" s="132"/>
      <c r="B410" s="133"/>
      <c r="C410" s="133"/>
      <c r="D410" s="133"/>
      <c r="E410" s="133"/>
      <c r="F410" s="133"/>
      <c r="G410" s="133"/>
      <c r="H410" s="133"/>
      <c r="I410" s="133"/>
      <c r="J410" s="133"/>
      <c r="K410" s="133"/>
      <c r="L410" s="141" t="s">
        <v>1097</v>
      </c>
      <c r="M410" s="142"/>
      <c r="N410" s="142"/>
      <c r="O410" s="142"/>
      <c r="P410" s="142"/>
      <c r="Q410" s="142"/>
      <c r="R410" s="142"/>
      <c r="S410" s="142"/>
      <c r="T410" s="142"/>
      <c r="U410" s="142"/>
      <c r="V410" s="142"/>
      <c r="W410" s="142"/>
      <c r="X410" s="142"/>
      <c r="Y410" s="142"/>
      <c r="Z410" s="142"/>
      <c r="AA410" s="142"/>
      <c r="AB410" s="142"/>
      <c r="AC410" s="142"/>
      <c r="AD410" s="142"/>
      <c r="AE410" s="142"/>
      <c r="AF410" s="142"/>
      <c r="AG410" s="142"/>
      <c r="AH410" s="142"/>
      <c r="AI410" s="142"/>
      <c r="AJ410" s="142"/>
      <c r="AK410" s="142"/>
      <c r="AL410" s="142"/>
      <c r="AM410" s="142"/>
      <c r="AN410" s="142"/>
      <c r="AO410" s="142"/>
      <c r="AP410" s="142"/>
      <c r="AQ410" s="142"/>
      <c r="AR410" s="142"/>
      <c r="AS410" s="142"/>
      <c r="AT410" s="142"/>
      <c r="AU410" s="142"/>
      <c r="AV410" s="132"/>
      <c r="AW410" s="133"/>
      <c r="AX410" s="133"/>
      <c r="AY410" s="133"/>
      <c r="AZ410" s="133"/>
      <c r="BA410" s="133"/>
      <c r="BB410" s="133"/>
      <c r="BC410" s="133"/>
      <c r="BD410" s="133"/>
      <c r="BE410" s="133"/>
      <c r="BF410" s="133"/>
      <c r="BG410" s="133"/>
      <c r="BH410" s="133"/>
      <c r="BI410" s="133"/>
      <c r="BJ410" s="133"/>
      <c r="BK410" s="133"/>
      <c r="BL410" s="133"/>
      <c r="BM410" s="133"/>
      <c r="BN410" s="133"/>
      <c r="BO410" s="133"/>
      <c r="BP410" s="133"/>
      <c r="BQ410" s="133"/>
      <c r="BR410" s="133"/>
      <c r="BS410" s="133"/>
      <c r="BT410" s="133"/>
      <c r="BU410" s="133"/>
      <c r="BV410" s="133"/>
      <c r="BW410" s="133"/>
      <c r="BX410" s="133"/>
    </row>
    <row r="411" spans="1:253" ht="12.75">
      <c r="A411" s="132" t="s">
        <v>336</v>
      </c>
      <c r="B411" s="133"/>
      <c r="C411" s="132"/>
      <c r="D411" s="133"/>
      <c r="E411" s="133"/>
      <c r="F411" s="132" t="s">
        <v>695</v>
      </c>
      <c r="G411" s="133"/>
      <c r="H411" s="133"/>
      <c r="I411" s="133"/>
      <c r="J411" s="133"/>
      <c r="K411" s="133"/>
      <c r="L411" s="132" t="s">
        <v>1098</v>
      </c>
      <c r="M411" s="133"/>
      <c r="N411" s="133"/>
      <c r="O411" s="133"/>
      <c r="P411" s="133"/>
      <c r="Q411" s="133"/>
      <c r="R411" s="133"/>
      <c r="S411" s="133"/>
      <c r="T411" s="133"/>
      <c r="U411" s="133"/>
      <c r="V411" s="133"/>
      <c r="W411" s="133"/>
      <c r="X411" s="133"/>
      <c r="Y411" s="133"/>
      <c r="Z411" s="133"/>
      <c r="AA411" s="133"/>
      <c r="AB411" s="133"/>
      <c r="AC411" s="133"/>
      <c r="AD411" s="133"/>
      <c r="AE411" s="133"/>
      <c r="AF411" s="133"/>
      <c r="AG411" s="133"/>
      <c r="AH411" s="133"/>
      <c r="AI411" s="133"/>
      <c r="AJ411" s="133"/>
      <c r="AK411" s="133"/>
      <c r="AL411" s="133"/>
      <c r="AM411" s="133"/>
      <c r="AN411" s="133"/>
      <c r="AO411" s="133"/>
      <c r="AP411" s="133"/>
      <c r="AQ411" s="133"/>
      <c r="AR411" s="133"/>
      <c r="AS411" s="133"/>
      <c r="AT411" s="133"/>
      <c r="AU411" s="133"/>
      <c r="AV411" s="132" t="s">
        <v>1153</v>
      </c>
      <c r="AW411" s="133"/>
      <c r="AX411" s="134">
        <f>'Stavební rozpočet'!F412</f>
        <v>1</v>
      </c>
      <c r="AY411" s="135"/>
      <c r="AZ411" s="135"/>
      <c r="BA411" s="135"/>
      <c r="BB411" s="135"/>
      <c r="BC411" s="134">
        <f>'Stavební rozpočet'!G412</f>
        <v>0</v>
      </c>
      <c r="BD411" s="135"/>
      <c r="BE411" s="135"/>
      <c r="BF411" s="135"/>
      <c r="BG411" s="135"/>
      <c r="BH411" s="135"/>
      <c r="BI411" s="135"/>
      <c r="BJ411" s="135"/>
      <c r="BK411" s="134">
        <f>IR411*AX411+IS411*AX411</f>
        <v>0</v>
      </c>
      <c r="BL411" s="135"/>
      <c r="BM411" s="135"/>
      <c r="BN411" s="135"/>
      <c r="BO411" s="135"/>
      <c r="BP411" s="135"/>
      <c r="BQ411" s="135"/>
      <c r="BR411" s="135"/>
      <c r="BS411" s="132" t="s">
        <v>1177</v>
      </c>
      <c r="BT411" s="133"/>
      <c r="BU411" s="133"/>
      <c r="BV411" s="133"/>
      <c r="BW411" s="133"/>
      <c r="BX411" s="133"/>
      <c r="IR411" s="46">
        <f>BC411*0.74</f>
        <v>0</v>
      </c>
      <c r="IS411" s="46">
        <f>BC411*(1-0.74)</f>
        <v>0</v>
      </c>
    </row>
    <row r="412" spans="1:76" ht="12.75">
      <c r="A412" s="132"/>
      <c r="B412" s="133"/>
      <c r="C412" s="133"/>
      <c r="D412" s="133"/>
      <c r="E412" s="133"/>
      <c r="F412" s="133"/>
      <c r="G412" s="133"/>
      <c r="H412" s="133"/>
      <c r="I412" s="133"/>
      <c r="J412" s="133"/>
      <c r="K412" s="133"/>
      <c r="L412" s="141" t="s">
        <v>1086</v>
      </c>
      <c r="M412" s="142"/>
      <c r="N412" s="142"/>
      <c r="O412" s="142"/>
      <c r="P412" s="142"/>
      <c r="Q412" s="142"/>
      <c r="R412" s="142"/>
      <c r="S412" s="142"/>
      <c r="T412" s="142"/>
      <c r="U412" s="142"/>
      <c r="V412" s="142"/>
      <c r="W412" s="142"/>
      <c r="X412" s="142"/>
      <c r="Y412" s="142"/>
      <c r="Z412" s="142"/>
      <c r="AA412" s="142"/>
      <c r="AB412" s="142"/>
      <c r="AC412" s="142"/>
      <c r="AD412" s="142"/>
      <c r="AE412" s="142"/>
      <c r="AF412" s="142"/>
      <c r="AG412" s="142"/>
      <c r="AH412" s="142"/>
      <c r="AI412" s="142"/>
      <c r="AJ412" s="142"/>
      <c r="AK412" s="142"/>
      <c r="AL412" s="142"/>
      <c r="AM412" s="142"/>
      <c r="AN412" s="142"/>
      <c r="AO412" s="142"/>
      <c r="AP412" s="142"/>
      <c r="AQ412" s="142"/>
      <c r="AR412" s="142"/>
      <c r="AS412" s="142"/>
      <c r="AT412" s="142"/>
      <c r="AU412" s="142"/>
      <c r="AV412" s="132"/>
      <c r="AW412" s="133"/>
      <c r="AX412" s="133"/>
      <c r="AY412" s="133"/>
      <c r="AZ412" s="133"/>
      <c r="BA412" s="133"/>
      <c r="BB412" s="133"/>
      <c r="BC412" s="133"/>
      <c r="BD412" s="133"/>
      <c r="BE412" s="133"/>
      <c r="BF412" s="133"/>
      <c r="BG412" s="133"/>
      <c r="BH412" s="133"/>
      <c r="BI412" s="133"/>
      <c r="BJ412" s="133"/>
      <c r="BK412" s="133"/>
      <c r="BL412" s="133"/>
      <c r="BM412" s="133"/>
      <c r="BN412" s="133"/>
      <c r="BO412" s="133"/>
      <c r="BP412" s="133"/>
      <c r="BQ412" s="133"/>
      <c r="BR412" s="133"/>
      <c r="BS412" s="133"/>
      <c r="BT412" s="133"/>
      <c r="BU412" s="133"/>
      <c r="BV412" s="133"/>
      <c r="BW412" s="133"/>
      <c r="BX412" s="133"/>
    </row>
    <row r="413" spans="1:253" ht="12.75">
      <c r="A413" s="132" t="s">
        <v>337</v>
      </c>
      <c r="B413" s="133"/>
      <c r="C413" s="132"/>
      <c r="D413" s="133"/>
      <c r="E413" s="133"/>
      <c r="F413" s="132" t="s">
        <v>696</v>
      </c>
      <c r="G413" s="133"/>
      <c r="H413" s="133"/>
      <c r="I413" s="133"/>
      <c r="J413" s="133"/>
      <c r="K413" s="133"/>
      <c r="L413" s="132" t="s">
        <v>1099</v>
      </c>
      <c r="M413" s="133"/>
      <c r="N413" s="133"/>
      <c r="O413" s="133"/>
      <c r="P413" s="133"/>
      <c r="Q413" s="133"/>
      <c r="R413" s="133"/>
      <c r="S413" s="133"/>
      <c r="T413" s="133"/>
      <c r="U413" s="133"/>
      <c r="V413" s="133"/>
      <c r="W413" s="133"/>
      <c r="X413" s="133"/>
      <c r="Y413" s="133"/>
      <c r="Z413" s="133"/>
      <c r="AA413" s="133"/>
      <c r="AB413" s="133"/>
      <c r="AC413" s="133"/>
      <c r="AD413" s="133"/>
      <c r="AE413" s="133"/>
      <c r="AF413" s="133"/>
      <c r="AG413" s="133"/>
      <c r="AH413" s="133"/>
      <c r="AI413" s="133"/>
      <c r="AJ413" s="133"/>
      <c r="AK413" s="133"/>
      <c r="AL413" s="133"/>
      <c r="AM413" s="133"/>
      <c r="AN413" s="133"/>
      <c r="AO413" s="133"/>
      <c r="AP413" s="133"/>
      <c r="AQ413" s="133"/>
      <c r="AR413" s="133"/>
      <c r="AS413" s="133"/>
      <c r="AT413" s="133"/>
      <c r="AU413" s="133"/>
      <c r="AV413" s="132" t="s">
        <v>1153</v>
      </c>
      <c r="AW413" s="133"/>
      <c r="AX413" s="134">
        <f>'Stavební rozpočet'!F414</f>
        <v>5</v>
      </c>
      <c r="AY413" s="135"/>
      <c r="AZ413" s="135"/>
      <c r="BA413" s="135"/>
      <c r="BB413" s="135"/>
      <c r="BC413" s="134">
        <f>'Stavební rozpočet'!G414</f>
        <v>0</v>
      </c>
      <c r="BD413" s="135"/>
      <c r="BE413" s="135"/>
      <c r="BF413" s="135"/>
      <c r="BG413" s="135"/>
      <c r="BH413" s="135"/>
      <c r="BI413" s="135"/>
      <c r="BJ413" s="135"/>
      <c r="BK413" s="134">
        <f aca="true" t="shared" si="25" ref="BK413:BK420">IR413*AX413+IS413*AX413</f>
        <v>0</v>
      </c>
      <c r="BL413" s="135"/>
      <c r="BM413" s="135"/>
      <c r="BN413" s="135"/>
      <c r="BO413" s="135"/>
      <c r="BP413" s="135"/>
      <c r="BQ413" s="135"/>
      <c r="BR413" s="135"/>
      <c r="BS413" s="132" t="s">
        <v>1177</v>
      </c>
      <c r="BT413" s="133"/>
      <c r="BU413" s="133"/>
      <c r="BV413" s="133"/>
      <c r="BW413" s="133"/>
      <c r="BX413" s="133"/>
      <c r="IR413" s="46">
        <f aca="true" t="shared" si="26" ref="IR413:IR419">BC413*0.79</f>
        <v>0</v>
      </c>
      <c r="IS413" s="46">
        <f aca="true" t="shared" si="27" ref="IS413:IS419">BC413*(1-0.79)</f>
        <v>0</v>
      </c>
    </row>
    <row r="414" spans="1:253" ht="12.75">
      <c r="A414" s="132" t="s">
        <v>338</v>
      </c>
      <c r="B414" s="133"/>
      <c r="C414" s="132"/>
      <c r="D414" s="133"/>
      <c r="E414" s="133"/>
      <c r="F414" s="132" t="s">
        <v>697</v>
      </c>
      <c r="G414" s="133"/>
      <c r="H414" s="133"/>
      <c r="I414" s="133"/>
      <c r="J414" s="133"/>
      <c r="K414" s="133"/>
      <c r="L414" s="132" t="s">
        <v>1100</v>
      </c>
      <c r="M414" s="133"/>
      <c r="N414" s="133"/>
      <c r="O414" s="133"/>
      <c r="P414" s="133"/>
      <c r="Q414" s="133"/>
      <c r="R414" s="133"/>
      <c r="S414" s="133"/>
      <c r="T414" s="133"/>
      <c r="U414" s="133"/>
      <c r="V414" s="133"/>
      <c r="W414" s="133"/>
      <c r="X414" s="133"/>
      <c r="Y414" s="133"/>
      <c r="Z414" s="133"/>
      <c r="AA414" s="133"/>
      <c r="AB414" s="133"/>
      <c r="AC414" s="133"/>
      <c r="AD414" s="133"/>
      <c r="AE414" s="133"/>
      <c r="AF414" s="133"/>
      <c r="AG414" s="133"/>
      <c r="AH414" s="133"/>
      <c r="AI414" s="133"/>
      <c r="AJ414" s="133"/>
      <c r="AK414" s="133"/>
      <c r="AL414" s="133"/>
      <c r="AM414" s="133"/>
      <c r="AN414" s="133"/>
      <c r="AO414" s="133"/>
      <c r="AP414" s="133"/>
      <c r="AQ414" s="133"/>
      <c r="AR414" s="133"/>
      <c r="AS414" s="133"/>
      <c r="AT414" s="133"/>
      <c r="AU414" s="133"/>
      <c r="AV414" s="132" t="s">
        <v>1153</v>
      </c>
      <c r="AW414" s="133"/>
      <c r="AX414" s="134">
        <f>'Stavební rozpočet'!F415</f>
        <v>3</v>
      </c>
      <c r="AY414" s="135"/>
      <c r="AZ414" s="135"/>
      <c r="BA414" s="135"/>
      <c r="BB414" s="135"/>
      <c r="BC414" s="134">
        <f>'Stavební rozpočet'!G415</f>
        <v>0</v>
      </c>
      <c r="BD414" s="135"/>
      <c r="BE414" s="135"/>
      <c r="BF414" s="135"/>
      <c r="BG414" s="135"/>
      <c r="BH414" s="135"/>
      <c r="BI414" s="135"/>
      <c r="BJ414" s="135"/>
      <c r="BK414" s="134">
        <f t="shared" si="25"/>
        <v>0</v>
      </c>
      <c r="BL414" s="135"/>
      <c r="BM414" s="135"/>
      <c r="BN414" s="135"/>
      <c r="BO414" s="135"/>
      <c r="BP414" s="135"/>
      <c r="BQ414" s="135"/>
      <c r="BR414" s="135"/>
      <c r="BS414" s="132" t="s">
        <v>1177</v>
      </c>
      <c r="BT414" s="133"/>
      <c r="BU414" s="133"/>
      <c r="BV414" s="133"/>
      <c r="BW414" s="133"/>
      <c r="BX414" s="133"/>
      <c r="IR414" s="46">
        <f t="shared" si="26"/>
        <v>0</v>
      </c>
      <c r="IS414" s="46">
        <f t="shared" si="27"/>
        <v>0</v>
      </c>
    </row>
    <row r="415" spans="1:253" ht="12.75">
      <c r="A415" s="132" t="s">
        <v>339</v>
      </c>
      <c r="B415" s="133"/>
      <c r="C415" s="132"/>
      <c r="D415" s="133"/>
      <c r="E415" s="133"/>
      <c r="F415" s="132" t="s">
        <v>698</v>
      </c>
      <c r="G415" s="133"/>
      <c r="H415" s="133"/>
      <c r="I415" s="133"/>
      <c r="J415" s="133"/>
      <c r="K415" s="133"/>
      <c r="L415" s="132" t="s">
        <v>1101</v>
      </c>
      <c r="M415" s="133"/>
      <c r="N415" s="133"/>
      <c r="O415" s="133"/>
      <c r="P415" s="133"/>
      <c r="Q415" s="133"/>
      <c r="R415" s="133"/>
      <c r="S415" s="133"/>
      <c r="T415" s="133"/>
      <c r="U415" s="133"/>
      <c r="V415" s="133"/>
      <c r="W415" s="133"/>
      <c r="X415" s="133"/>
      <c r="Y415" s="133"/>
      <c r="Z415" s="133"/>
      <c r="AA415" s="133"/>
      <c r="AB415" s="133"/>
      <c r="AC415" s="133"/>
      <c r="AD415" s="133"/>
      <c r="AE415" s="133"/>
      <c r="AF415" s="133"/>
      <c r="AG415" s="133"/>
      <c r="AH415" s="133"/>
      <c r="AI415" s="133"/>
      <c r="AJ415" s="133"/>
      <c r="AK415" s="133"/>
      <c r="AL415" s="133"/>
      <c r="AM415" s="133"/>
      <c r="AN415" s="133"/>
      <c r="AO415" s="133"/>
      <c r="AP415" s="133"/>
      <c r="AQ415" s="133"/>
      <c r="AR415" s="133"/>
      <c r="AS415" s="133"/>
      <c r="AT415" s="133"/>
      <c r="AU415" s="133"/>
      <c r="AV415" s="132" t="s">
        <v>1153</v>
      </c>
      <c r="AW415" s="133"/>
      <c r="AX415" s="134">
        <f>'Stavební rozpočet'!F416</f>
        <v>3</v>
      </c>
      <c r="AY415" s="135"/>
      <c r="AZ415" s="135"/>
      <c r="BA415" s="135"/>
      <c r="BB415" s="135"/>
      <c r="BC415" s="134">
        <f>'Stavební rozpočet'!G416</f>
        <v>0</v>
      </c>
      <c r="BD415" s="135"/>
      <c r="BE415" s="135"/>
      <c r="BF415" s="135"/>
      <c r="BG415" s="135"/>
      <c r="BH415" s="135"/>
      <c r="BI415" s="135"/>
      <c r="BJ415" s="135"/>
      <c r="BK415" s="134">
        <f t="shared" si="25"/>
        <v>0</v>
      </c>
      <c r="BL415" s="135"/>
      <c r="BM415" s="135"/>
      <c r="BN415" s="135"/>
      <c r="BO415" s="135"/>
      <c r="BP415" s="135"/>
      <c r="BQ415" s="135"/>
      <c r="BR415" s="135"/>
      <c r="BS415" s="132" t="s">
        <v>1177</v>
      </c>
      <c r="BT415" s="133"/>
      <c r="BU415" s="133"/>
      <c r="BV415" s="133"/>
      <c r="BW415" s="133"/>
      <c r="BX415" s="133"/>
      <c r="IR415" s="46">
        <f t="shared" si="26"/>
        <v>0</v>
      </c>
      <c r="IS415" s="46">
        <f t="shared" si="27"/>
        <v>0</v>
      </c>
    </row>
    <row r="416" spans="1:253" ht="12.75">
      <c r="A416" s="132" t="s">
        <v>340</v>
      </c>
      <c r="B416" s="133"/>
      <c r="C416" s="132"/>
      <c r="D416" s="133"/>
      <c r="E416" s="133"/>
      <c r="F416" s="132" t="s">
        <v>699</v>
      </c>
      <c r="G416" s="133"/>
      <c r="H416" s="133"/>
      <c r="I416" s="133"/>
      <c r="J416" s="133"/>
      <c r="K416" s="133"/>
      <c r="L416" s="132" t="s">
        <v>1102</v>
      </c>
      <c r="M416" s="133"/>
      <c r="N416" s="133"/>
      <c r="O416" s="133"/>
      <c r="P416" s="133"/>
      <c r="Q416" s="133"/>
      <c r="R416" s="133"/>
      <c r="S416" s="133"/>
      <c r="T416" s="133"/>
      <c r="U416" s="133"/>
      <c r="V416" s="133"/>
      <c r="W416" s="133"/>
      <c r="X416" s="133"/>
      <c r="Y416" s="133"/>
      <c r="Z416" s="133"/>
      <c r="AA416" s="133"/>
      <c r="AB416" s="133"/>
      <c r="AC416" s="133"/>
      <c r="AD416" s="133"/>
      <c r="AE416" s="133"/>
      <c r="AF416" s="133"/>
      <c r="AG416" s="133"/>
      <c r="AH416" s="133"/>
      <c r="AI416" s="133"/>
      <c r="AJ416" s="133"/>
      <c r="AK416" s="133"/>
      <c r="AL416" s="133"/>
      <c r="AM416" s="133"/>
      <c r="AN416" s="133"/>
      <c r="AO416" s="133"/>
      <c r="AP416" s="133"/>
      <c r="AQ416" s="133"/>
      <c r="AR416" s="133"/>
      <c r="AS416" s="133"/>
      <c r="AT416" s="133"/>
      <c r="AU416" s="133"/>
      <c r="AV416" s="132" t="s">
        <v>1153</v>
      </c>
      <c r="AW416" s="133"/>
      <c r="AX416" s="134">
        <f>'Stavební rozpočet'!F417</f>
        <v>3</v>
      </c>
      <c r="AY416" s="135"/>
      <c r="AZ416" s="135"/>
      <c r="BA416" s="135"/>
      <c r="BB416" s="135"/>
      <c r="BC416" s="134">
        <f>'Stavební rozpočet'!G417</f>
        <v>0</v>
      </c>
      <c r="BD416" s="135"/>
      <c r="BE416" s="135"/>
      <c r="BF416" s="135"/>
      <c r="BG416" s="135"/>
      <c r="BH416" s="135"/>
      <c r="BI416" s="135"/>
      <c r="BJ416" s="135"/>
      <c r="BK416" s="134">
        <f t="shared" si="25"/>
        <v>0</v>
      </c>
      <c r="BL416" s="135"/>
      <c r="BM416" s="135"/>
      <c r="BN416" s="135"/>
      <c r="BO416" s="135"/>
      <c r="BP416" s="135"/>
      <c r="BQ416" s="135"/>
      <c r="BR416" s="135"/>
      <c r="BS416" s="132" t="s">
        <v>1177</v>
      </c>
      <c r="BT416" s="133"/>
      <c r="BU416" s="133"/>
      <c r="BV416" s="133"/>
      <c r="BW416" s="133"/>
      <c r="BX416" s="133"/>
      <c r="IR416" s="46">
        <f t="shared" si="26"/>
        <v>0</v>
      </c>
      <c r="IS416" s="46">
        <f t="shared" si="27"/>
        <v>0</v>
      </c>
    </row>
    <row r="417" spans="1:253" ht="12.75">
      <c r="A417" s="132" t="s">
        <v>341</v>
      </c>
      <c r="B417" s="133"/>
      <c r="C417" s="132"/>
      <c r="D417" s="133"/>
      <c r="E417" s="133"/>
      <c r="F417" s="132" t="s">
        <v>700</v>
      </c>
      <c r="G417" s="133"/>
      <c r="H417" s="133"/>
      <c r="I417" s="133"/>
      <c r="J417" s="133"/>
      <c r="K417" s="133"/>
      <c r="L417" s="132" t="s">
        <v>1103</v>
      </c>
      <c r="M417" s="133"/>
      <c r="N417" s="133"/>
      <c r="O417" s="133"/>
      <c r="P417" s="133"/>
      <c r="Q417" s="133"/>
      <c r="R417" s="133"/>
      <c r="S417" s="133"/>
      <c r="T417" s="133"/>
      <c r="U417" s="133"/>
      <c r="V417" s="133"/>
      <c r="W417" s="133"/>
      <c r="X417" s="133"/>
      <c r="Y417" s="133"/>
      <c r="Z417" s="133"/>
      <c r="AA417" s="133"/>
      <c r="AB417" s="133"/>
      <c r="AC417" s="133"/>
      <c r="AD417" s="133"/>
      <c r="AE417" s="133"/>
      <c r="AF417" s="133"/>
      <c r="AG417" s="133"/>
      <c r="AH417" s="133"/>
      <c r="AI417" s="133"/>
      <c r="AJ417" s="133"/>
      <c r="AK417" s="133"/>
      <c r="AL417" s="133"/>
      <c r="AM417" s="133"/>
      <c r="AN417" s="133"/>
      <c r="AO417" s="133"/>
      <c r="AP417" s="133"/>
      <c r="AQ417" s="133"/>
      <c r="AR417" s="133"/>
      <c r="AS417" s="133"/>
      <c r="AT417" s="133"/>
      <c r="AU417" s="133"/>
      <c r="AV417" s="132" t="s">
        <v>1153</v>
      </c>
      <c r="AW417" s="133"/>
      <c r="AX417" s="134">
        <f>'Stavební rozpočet'!F418</f>
        <v>2</v>
      </c>
      <c r="AY417" s="135"/>
      <c r="AZ417" s="135"/>
      <c r="BA417" s="135"/>
      <c r="BB417" s="135"/>
      <c r="BC417" s="134">
        <f>'Stavební rozpočet'!G418</f>
        <v>0</v>
      </c>
      <c r="BD417" s="135"/>
      <c r="BE417" s="135"/>
      <c r="BF417" s="135"/>
      <c r="BG417" s="135"/>
      <c r="BH417" s="135"/>
      <c r="BI417" s="135"/>
      <c r="BJ417" s="135"/>
      <c r="BK417" s="134">
        <f t="shared" si="25"/>
        <v>0</v>
      </c>
      <c r="BL417" s="135"/>
      <c r="BM417" s="135"/>
      <c r="BN417" s="135"/>
      <c r="BO417" s="135"/>
      <c r="BP417" s="135"/>
      <c r="BQ417" s="135"/>
      <c r="BR417" s="135"/>
      <c r="BS417" s="132" t="s">
        <v>1177</v>
      </c>
      <c r="BT417" s="133"/>
      <c r="BU417" s="133"/>
      <c r="BV417" s="133"/>
      <c r="BW417" s="133"/>
      <c r="BX417" s="133"/>
      <c r="IR417" s="46">
        <f t="shared" si="26"/>
        <v>0</v>
      </c>
      <c r="IS417" s="46">
        <f t="shared" si="27"/>
        <v>0</v>
      </c>
    </row>
    <row r="418" spans="1:253" ht="12.75">
      <c r="A418" s="132" t="s">
        <v>342</v>
      </c>
      <c r="B418" s="133"/>
      <c r="C418" s="132"/>
      <c r="D418" s="133"/>
      <c r="E418" s="133"/>
      <c r="F418" s="132" t="s">
        <v>701</v>
      </c>
      <c r="G418" s="133"/>
      <c r="H418" s="133"/>
      <c r="I418" s="133"/>
      <c r="J418" s="133"/>
      <c r="K418" s="133"/>
      <c r="L418" s="132" t="s">
        <v>1104</v>
      </c>
      <c r="M418" s="133"/>
      <c r="N418" s="133"/>
      <c r="O418" s="133"/>
      <c r="P418" s="133"/>
      <c r="Q418" s="133"/>
      <c r="R418" s="133"/>
      <c r="S418" s="133"/>
      <c r="T418" s="133"/>
      <c r="U418" s="133"/>
      <c r="V418" s="133"/>
      <c r="W418" s="133"/>
      <c r="X418" s="133"/>
      <c r="Y418" s="133"/>
      <c r="Z418" s="133"/>
      <c r="AA418" s="133"/>
      <c r="AB418" s="133"/>
      <c r="AC418" s="133"/>
      <c r="AD418" s="133"/>
      <c r="AE418" s="133"/>
      <c r="AF418" s="133"/>
      <c r="AG418" s="133"/>
      <c r="AH418" s="133"/>
      <c r="AI418" s="133"/>
      <c r="AJ418" s="133"/>
      <c r="AK418" s="133"/>
      <c r="AL418" s="133"/>
      <c r="AM418" s="133"/>
      <c r="AN418" s="133"/>
      <c r="AO418" s="133"/>
      <c r="AP418" s="133"/>
      <c r="AQ418" s="133"/>
      <c r="AR418" s="133"/>
      <c r="AS418" s="133"/>
      <c r="AT418" s="133"/>
      <c r="AU418" s="133"/>
      <c r="AV418" s="132" t="s">
        <v>1153</v>
      </c>
      <c r="AW418" s="133"/>
      <c r="AX418" s="134">
        <f>'Stavební rozpočet'!F419</f>
        <v>4</v>
      </c>
      <c r="AY418" s="135"/>
      <c r="AZ418" s="135"/>
      <c r="BA418" s="135"/>
      <c r="BB418" s="135"/>
      <c r="BC418" s="134">
        <f>'Stavební rozpočet'!G419</f>
        <v>0</v>
      </c>
      <c r="BD418" s="135"/>
      <c r="BE418" s="135"/>
      <c r="BF418" s="135"/>
      <c r="BG418" s="135"/>
      <c r="BH418" s="135"/>
      <c r="BI418" s="135"/>
      <c r="BJ418" s="135"/>
      <c r="BK418" s="134">
        <f t="shared" si="25"/>
        <v>0</v>
      </c>
      <c r="BL418" s="135"/>
      <c r="BM418" s="135"/>
      <c r="BN418" s="135"/>
      <c r="BO418" s="135"/>
      <c r="BP418" s="135"/>
      <c r="BQ418" s="135"/>
      <c r="BR418" s="135"/>
      <c r="BS418" s="132" t="s">
        <v>1177</v>
      </c>
      <c r="BT418" s="133"/>
      <c r="BU418" s="133"/>
      <c r="BV418" s="133"/>
      <c r="BW418" s="133"/>
      <c r="BX418" s="133"/>
      <c r="IR418" s="46">
        <f t="shared" si="26"/>
        <v>0</v>
      </c>
      <c r="IS418" s="46">
        <f t="shared" si="27"/>
        <v>0</v>
      </c>
    </row>
    <row r="419" spans="1:253" ht="12.75">
      <c r="A419" s="132" t="s">
        <v>343</v>
      </c>
      <c r="B419" s="133"/>
      <c r="C419" s="132"/>
      <c r="D419" s="133"/>
      <c r="E419" s="133"/>
      <c r="F419" s="132" t="s">
        <v>702</v>
      </c>
      <c r="G419" s="133"/>
      <c r="H419" s="133"/>
      <c r="I419" s="133"/>
      <c r="J419" s="133"/>
      <c r="K419" s="133"/>
      <c r="L419" s="132" t="s">
        <v>1105</v>
      </c>
      <c r="M419" s="133"/>
      <c r="N419" s="133"/>
      <c r="O419" s="133"/>
      <c r="P419" s="133"/>
      <c r="Q419" s="133"/>
      <c r="R419" s="133"/>
      <c r="S419" s="133"/>
      <c r="T419" s="133"/>
      <c r="U419" s="133"/>
      <c r="V419" s="133"/>
      <c r="W419" s="133"/>
      <c r="X419" s="133"/>
      <c r="Y419" s="133"/>
      <c r="Z419" s="133"/>
      <c r="AA419" s="133"/>
      <c r="AB419" s="133"/>
      <c r="AC419" s="133"/>
      <c r="AD419" s="133"/>
      <c r="AE419" s="133"/>
      <c r="AF419" s="133"/>
      <c r="AG419" s="133"/>
      <c r="AH419" s="133"/>
      <c r="AI419" s="133"/>
      <c r="AJ419" s="133"/>
      <c r="AK419" s="133"/>
      <c r="AL419" s="133"/>
      <c r="AM419" s="133"/>
      <c r="AN419" s="133"/>
      <c r="AO419" s="133"/>
      <c r="AP419" s="133"/>
      <c r="AQ419" s="133"/>
      <c r="AR419" s="133"/>
      <c r="AS419" s="133"/>
      <c r="AT419" s="133"/>
      <c r="AU419" s="133"/>
      <c r="AV419" s="132" t="s">
        <v>1153</v>
      </c>
      <c r="AW419" s="133"/>
      <c r="AX419" s="134">
        <f>'Stavební rozpočet'!F420</f>
        <v>2</v>
      </c>
      <c r="AY419" s="135"/>
      <c r="AZ419" s="135"/>
      <c r="BA419" s="135"/>
      <c r="BB419" s="135"/>
      <c r="BC419" s="134">
        <f>'Stavební rozpočet'!G420</f>
        <v>0</v>
      </c>
      <c r="BD419" s="135"/>
      <c r="BE419" s="135"/>
      <c r="BF419" s="135"/>
      <c r="BG419" s="135"/>
      <c r="BH419" s="135"/>
      <c r="BI419" s="135"/>
      <c r="BJ419" s="135"/>
      <c r="BK419" s="134">
        <f t="shared" si="25"/>
        <v>0</v>
      </c>
      <c r="BL419" s="135"/>
      <c r="BM419" s="135"/>
      <c r="BN419" s="135"/>
      <c r="BO419" s="135"/>
      <c r="BP419" s="135"/>
      <c r="BQ419" s="135"/>
      <c r="BR419" s="135"/>
      <c r="BS419" s="132" t="s">
        <v>1177</v>
      </c>
      <c r="BT419" s="133"/>
      <c r="BU419" s="133"/>
      <c r="BV419" s="133"/>
      <c r="BW419" s="133"/>
      <c r="BX419" s="133"/>
      <c r="IR419" s="46">
        <f t="shared" si="26"/>
        <v>0</v>
      </c>
      <c r="IS419" s="46">
        <f t="shared" si="27"/>
        <v>0</v>
      </c>
    </row>
    <row r="420" spans="1:253" ht="12.75">
      <c r="A420" s="132" t="s">
        <v>344</v>
      </c>
      <c r="B420" s="133"/>
      <c r="C420" s="132"/>
      <c r="D420" s="133"/>
      <c r="E420" s="133"/>
      <c r="F420" s="132" t="s">
        <v>703</v>
      </c>
      <c r="G420" s="133"/>
      <c r="H420" s="133"/>
      <c r="I420" s="133"/>
      <c r="J420" s="133"/>
      <c r="K420" s="133"/>
      <c r="L420" s="132" t="s">
        <v>1106</v>
      </c>
      <c r="M420" s="133"/>
      <c r="N420" s="133"/>
      <c r="O420" s="133"/>
      <c r="P420" s="133"/>
      <c r="Q420" s="133"/>
      <c r="R420" s="133"/>
      <c r="S420" s="133"/>
      <c r="T420" s="133"/>
      <c r="U420" s="133"/>
      <c r="V420" s="133"/>
      <c r="W420" s="133"/>
      <c r="X420" s="133"/>
      <c r="Y420" s="133"/>
      <c r="Z420" s="133"/>
      <c r="AA420" s="133"/>
      <c r="AB420" s="133"/>
      <c r="AC420" s="133"/>
      <c r="AD420" s="133"/>
      <c r="AE420" s="133"/>
      <c r="AF420" s="133"/>
      <c r="AG420" s="133"/>
      <c r="AH420" s="133"/>
      <c r="AI420" s="133"/>
      <c r="AJ420" s="133"/>
      <c r="AK420" s="133"/>
      <c r="AL420" s="133"/>
      <c r="AM420" s="133"/>
      <c r="AN420" s="133"/>
      <c r="AO420" s="133"/>
      <c r="AP420" s="133"/>
      <c r="AQ420" s="133"/>
      <c r="AR420" s="133"/>
      <c r="AS420" s="133"/>
      <c r="AT420" s="133"/>
      <c r="AU420" s="133"/>
      <c r="AV420" s="132" t="s">
        <v>1152</v>
      </c>
      <c r="AW420" s="133"/>
      <c r="AX420" s="134">
        <f>'Stavební rozpočet'!F421</f>
        <v>1.363</v>
      </c>
      <c r="AY420" s="135"/>
      <c r="AZ420" s="135"/>
      <c r="BA420" s="135"/>
      <c r="BB420" s="135"/>
      <c r="BC420" s="134">
        <f>'Stavební rozpočet'!G421</f>
        <v>0</v>
      </c>
      <c r="BD420" s="135"/>
      <c r="BE420" s="135"/>
      <c r="BF420" s="135"/>
      <c r="BG420" s="135"/>
      <c r="BH420" s="135"/>
      <c r="BI420" s="135"/>
      <c r="BJ420" s="135"/>
      <c r="BK420" s="134">
        <f t="shared" si="25"/>
        <v>0</v>
      </c>
      <c r="BL420" s="135"/>
      <c r="BM420" s="135"/>
      <c r="BN420" s="135"/>
      <c r="BO420" s="135"/>
      <c r="BP420" s="135"/>
      <c r="BQ420" s="135"/>
      <c r="BR420" s="135"/>
      <c r="BS420" s="132" t="s">
        <v>1177</v>
      </c>
      <c r="BT420" s="133"/>
      <c r="BU420" s="133"/>
      <c r="BV420" s="133"/>
      <c r="BW420" s="133"/>
      <c r="BX420" s="133"/>
      <c r="IR420" s="46">
        <f>BC420*0</f>
        <v>0</v>
      </c>
      <c r="IS420" s="46">
        <f>BC420*(1-0)</f>
        <v>0</v>
      </c>
    </row>
    <row r="421" spans="1:76" ht="12.75">
      <c r="A421" s="136" t="s">
        <v>6</v>
      </c>
      <c r="B421" s="137"/>
      <c r="C421" s="136" t="s">
        <v>6</v>
      </c>
      <c r="D421" s="137"/>
      <c r="E421" s="137"/>
      <c r="F421" s="136" t="s">
        <v>704</v>
      </c>
      <c r="G421" s="137"/>
      <c r="H421" s="137"/>
      <c r="I421" s="137"/>
      <c r="J421" s="137"/>
      <c r="K421" s="137"/>
      <c r="L421" s="136" t="s">
        <v>1107</v>
      </c>
      <c r="M421" s="137"/>
      <c r="N421" s="137"/>
      <c r="O421" s="137"/>
      <c r="P421" s="137"/>
      <c r="Q421" s="137"/>
      <c r="R421" s="137"/>
      <c r="S421" s="137"/>
      <c r="T421" s="137"/>
      <c r="U421" s="137"/>
      <c r="V421" s="137"/>
      <c r="W421" s="137"/>
      <c r="X421" s="137"/>
      <c r="Y421" s="137"/>
      <c r="Z421" s="137"/>
      <c r="AA421" s="137"/>
      <c r="AB421" s="137"/>
      <c r="AC421" s="137"/>
      <c r="AD421" s="137"/>
      <c r="AE421" s="137"/>
      <c r="AF421" s="137"/>
      <c r="AG421" s="137"/>
      <c r="AH421" s="137"/>
      <c r="AI421" s="137"/>
      <c r="AJ421" s="137"/>
      <c r="AK421" s="137"/>
      <c r="AL421" s="137"/>
      <c r="AM421" s="137"/>
      <c r="AN421" s="137"/>
      <c r="AO421" s="137"/>
      <c r="AP421" s="137"/>
      <c r="AQ421" s="137"/>
      <c r="AR421" s="137"/>
      <c r="AS421" s="137"/>
      <c r="AT421" s="137"/>
      <c r="AU421" s="137"/>
      <c r="AV421" s="136" t="s">
        <v>6</v>
      </c>
      <c r="AW421" s="137"/>
      <c r="AX421" s="138" t="s">
        <v>6</v>
      </c>
      <c r="AY421" s="139"/>
      <c r="AZ421" s="139"/>
      <c r="BA421" s="139"/>
      <c r="BB421" s="139"/>
      <c r="BC421" s="138" t="s">
        <v>6</v>
      </c>
      <c r="BD421" s="139"/>
      <c r="BE421" s="139"/>
      <c r="BF421" s="139"/>
      <c r="BG421" s="139"/>
      <c r="BH421" s="139"/>
      <c r="BI421" s="139"/>
      <c r="BJ421" s="139"/>
      <c r="BK421" s="140">
        <f>SUM(BK422:BK433)</f>
        <v>0</v>
      </c>
      <c r="BL421" s="139"/>
      <c r="BM421" s="139"/>
      <c r="BN421" s="139"/>
      <c r="BO421" s="139"/>
      <c r="BP421" s="139"/>
      <c r="BQ421" s="139"/>
      <c r="BR421" s="139"/>
      <c r="BS421" s="136" t="s">
        <v>6</v>
      </c>
      <c r="BT421" s="137"/>
      <c r="BU421" s="137"/>
      <c r="BV421" s="137"/>
      <c r="BW421" s="137"/>
      <c r="BX421" s="137"/>
    </row>
    <row r="422" spans="1:253" ht="12.75">
      <c r="A422" s="132" t="s">
        <v>345</v>
      </c>
      <c r="B422" s="133"/>
      <c r="C422" s="132"/>
      <c r="D422" s="133"/>
      <c r="E422" s="133"/>
      <c r="F422" s="132" t="s">
        <v>705</v>
      </c>
      <c r="G422" s="133"/>
      <c r="H422" s="133"/>
      <c r="I422" s="133"/>
      <c r="J422" s="133"/>
      <c r="K422" s="133"/>
      <c r="L422" s="132" t="s">
        <v>1108</v>
      </c>
      <c r="M422" s="133"/>
      <c r="N422" s="133"/>
      <c r="O422" s="133"/>
      <c r="P422" s="133"/>
      <c r="Q422" s="133"/>
      <c r="R422" s="133"/>
      <c r="S422" s="133"/>
      <c r="T422" s="133"/>
      <c r="U422" s="133"/>
      <c r="V422" s="133"/>
      <c r="W422" s="133"/>
      <c r="X422" s="133"/>
      <c r="Y422" s="133"/>
      <c r="Z422" s="133"/>
      <c r="AA422" s="133"/>
      <c r="AB422" s="133"/>
      <c r="AC422" s="133"/>
      <c r="AD422" s="133"/>
      <c r="AE422" s="133"/>
      <c r="AF422" s="133"/>
      <c r="AG422" s="133"/>
      <c r="AH422" s="133"/>
      <c r="AI422" s="133"/>
      <c r="AJ422" s="133"/>
      <c r="AK422" s="133"/>
      <c r="AL422" s="133"/>
      <c r="AM422" s="133"/>
      <c r="AN422" s="133"/>
      <c r="AO422" s="133"/>
      <c r="AP422" s="133"/>
      <c r="AQ422" s="133"/>
      <c r="AR422" s="133"/>
      <c r="AS422" s="133"/>
      <c r="AT422" s="133"/>
      <c r="AU422" s="133"/>
      <c r="AV422" s="132" t="s">
        <v>1151</v>
      </c>
      <c r="AW422" s="133"/>
      <c r="AX422" s="134">
        <f>'Stavební rozpočet'!F423</f>
        <v>40.91</v>
      </c>
      <c r="AY422" s="135"/>
      <c r="AZ422" s="135"/>
      <c r="BA422" s="135"/>
      <c r="BB422" s="135"/>
      <c r="BC422" s="134">
        <f>'Stavební rozpočet'!G423</f>
        <v>0</v>
      </c>
      <c r="BD422" s="135"/>
      <c r="BE422" s="135"/>
      <c r="BF422" s="135"/>
      <c r="BG422" s="135"/>
      <c r="BH422" s="135"/>
      <c r="BI422" s="135"/>
      <c r="BJ422" s="135"/>
      <c r="BK422" s="134">
        <f>IR422*AX422+IS422*AX422</f>
        <v>0</v>
      </c>
      <c r="BL422" s="135"/>
      <c r="BM422" s="135"/>
      <c r="BN422" s="135"/>
      <c r="BO422" s="135"/>
      <c r="BP422" s="135"/>
      <c r="BQ422" s="135"/>
      <c r="BR422" s="135"/>
      <c r="BS422" s="132" t="s">
        <v>1177</v>
      </c>
      <c r="BT422" s="133"/>
      <c r="BU422" s="133"/>
      <c r="BV422" s="133"/>
      <c r="BW422" s="133"/>
      <c r="BX422" s="133"/>
      <c r="IR422" s="46">
        <f>BC422*0</f>
        <v>0</v>
      </c>
      <c r="IS422" s="46">
        <f>BC422*(1-0)</f>
        <v>0</v>
      </c>
    </row>
    <row r="423" spans="1:76" ht="12.75">
      <c r="A423" s="132"/>
      <c r="B423" s="133"/>
      <c r="C423" s="133"/>
      <c r="D423" s="133"/>
      <c r="E423" s="133"/>
      <c r="F423" s="133"/>
      <c r="G423" s="133"/>
      <c r="H423" s="133"/>
      <c r="I423" s="133"/>
      <c r="J423" s="133"/>
      <c r="K423" s="133"/>
      <c r="L423" s="141" t="s">
        <v>1109</v>
      </c>
      <c r="M423" s="142"/>
      <c r="N423" s="142"/>
      <c r="O423" s="142"/>
      <c r="P423" s="142"/>
      <c r="Q423" s="142"/>
      <c r="R423" s="142"/>
      <c r="S423" s="142"/>
      <c r="T423" s="142"/>
      <c r="U423" s="142"/>
      <c r="V423" s="142"/>
      <c r="W423" s="142"/>
      <c r="X423" s="142"/>
      <c r="Y423" s="142"/>
      <c r="Z423" s="142"/>
      <c r="AA423" s="142"/>
      <c r="AB423" s="142"/>
      <c r="AC423" s="142"/>
      <c r="AD423" s="142"/>
      <c r="AE423" s="142"/>
      <c r="AF423" s="142"/>
      <c r="AG423" s="142"/>
      <c r="AH423" s="142"/>
      <c r="AI423" s="142"/>
      <c r="AJ423" s="142"/>
      <c r="AK423" s="142"/>
      <c r="AL423" s="142"/>
      <c r="AM423" s="142"/>
      <c r="AN423" s="142"/>
      <c r="AO423" s="142"/>
      <c r="AP423" s="142"/>
      <c r="AQ423" s="142"/>
      <c r="AR423" s="142"/>
      <c r="AS423" s="142"/>
      <c r="AT423" s="142"/>
      <c r="AU423" s="142"/>
      <c r="AV423" s="132"/>
      <c r="AW423" s="133"/>
      <c r="AX423" s="133"/>
      <c r="AY423" s="133"/>
      <c r="AZ423" s="133"/>
      <c r="BA423" s="133"/>
      <c r="BB423" s="133"/>
      <c r="BC423" s="133"/>
      <c r="BD423" s="133"/>
      <c r="BE423" s="133"/>
      <c r="BF423" s="133"/>
      <c r="BG423" s="133"/>
      <c r="BH423" s="133"/>
      <c r="BI423" s="133"/>
      <c r="BJ423" s="133"/>
      <c r="BK423" s="133"/>
      <c r="BL423" s="133"/>
      <c r="BM423" s="133"/>
      <c r="BN423" s="133"/>
      <c r="BO423" s="133"/>
      <c r="BP423" s="133"/>
      <c r="BQ423" s="133"/>
      <c r="BR423" s="133"/>
      <c r="BS423" s="133"/>
      <c r="BT423" s="133"/>
      <c r="BU423" s="133"/>
      <c r="BV423" s="133"/>
      <c r="BW423" s="133"/>
      <c r="BX423" s="133"/>
    </row>
    <row r="424" spans="1:253" ht="12.75">
      <c r="A424" s="132" t="s">
        <v>346</v>
      </c>
      <c r="B424" s="133"/>
      <c r="C424" s="132"/>
      <c r="D424" s="133"/>
      <c r="E424" s="133"/>
      <c r="F424" s="132" t="s">
        <v>706</v>
      </c>
      <c r="G424" s="133"/>
      <c r="H424" s="133"/>
      <c r="I424" s="133"/>
      <c r="J424" s="133"/>
      <c r="K424" s="133"/>
      <c r="L424" s="132" t="s">
        <v>1110</v>
      </c>
      <c r="M424" s="133"/>
      <c r="N424" s="133"/>
      <c r="O424" s="133"/>
      <c r="P424" s="133"/>
      <c r="Q424" s="133"/>
      <c r="R424" s="133"/>
      <c r="S424" s="133"/>
      <c r="T424" s="133"/>
      <c r="U424" s="133"/>
      <c r="V424" s="133"/>
      <c r="W424" s="133"/>
      <c r="X424" s="133"/>
      <c r="Y424" s="133"/>
      <c r="Z424" s="133"/>
      <c r="AA424" s="133"/>
      <c r="AB424" s="133"/>
      <c r="AC424" s="133"/>
      <c r="AD424" s="133"/>
      <c r="AE424" s="133"/>
      <c r="AF424" s="133"/>
      <c r="AG424" s="133"/>
      <c r="AH424" s="133"/>
      <c r="AI424" s="133"/>
      <c r="AJ424" s="133"/>
      <c r="AK424" s="133"/>
      <c r="AL424" s="133"/>
      <c r="AM424" s="133"/>
      <c r="AN424" s="133"/>
      <c r="AO424" s="133"/>
      <c r="AP424" s="133"/>
      <c r="AQ424" s="133"/>
      <c r="AR424" s="133"/>
      <c r="AS424" s="133"/>
      <c r="AT424" s="133"/>
      <c r="AU424" s="133"/>
      <c r="AV424" s="132" t="s">
        <v>1154</v>
      </c>
      <c r="AW424" s="133"/>
      <c r="AX424" s="134">
        <f>'Stavební rozpočet'!F425</f>
        <v>20.98</v>
      </c>
      <c r="AY424" s="135"/>
      <c r="AZ424" s="135"/>
      <c r="BA424" s="135"/>
      <c r="BB424" s="135"/>
      <c r="BC424" s="134">
        <f>'Stavební rozpočet'!G425</f>
        <v>0</v>
      </c>
      <c r="BD424" s="135"/>
      <c r="BE424" s="135"/>
      <c r="BF424" s="135"/>
      <c r="BG424" s="135"/>
      <c r="BH424" s="135"/>
      <c r="BI424" s="135"/>
      <c r="BJ424" s="135"/>
      <c r="BK424" s="134">
        <f>IR424*AX424+IS424*AX424</f>
        <v>0</v>
      </c>
      <c r="BL424" s="135"/>
      <c r="BM424" s="135"/>
      <c r="BN424" s="135"/>
      <c r="BO424" s="135"/>
      <c r="BP424" s="135"/>
      <c r="BQ424" s="135"/>
      <c r="BR424" s="135"/>
      <c r="BS424" s="132" t="s">
        <v>1177</v>
      </c>
      <c r="BT424" s="133"/>
      <c r="BU424" s="133"/>
      <c r="BV424" s="133"/>
      <c r="BW424" s="133"/>
      <c r="BX424" s="133"/>
      <c r="IR424" s="46">
        <f>BC424*0</f>
        <v>0</v>
      </c>
      <c r="IS424" s="46">
        <f>BC424*(1-0)</f>
        <v>0</v>
      </c>
    </row>
    <row r="425" spans="1:253" ht="12.75">
      <c r="A425" s="143" t="s">
        <v>347</v>
      </c>
      <c r="B425" s="144"/>
      <c r="C425" s="143"/>
      <c r="D425" s="144"/>
      <c r="E425" s="144"/>
      <c r="F425" s="143" t="s">
        <v>707</v>
      </c>
      <c r="G425" s="144"/>
      <c r="H425" s="144"/>
      <c r="I425" s="144"/>
      <c r="J425" s="144"/>
      <c r="K425" s="144"/>
      <c r="L425" s="143" t="s">
        <v>1111</v>
      </c>
      <c r="M425" s="144"/>
      <c r="N425" s="144"/>
      <c r="O425" s="144"/>
      <c r="P425" s="144"/>
      <c r="Q425" s="144"/>
      <c r="R425" s="144"/>
      <c r="S425" s="144"/>
      <c r="T425" s="144"/>
      <c r="U425" s="144"/>
      <c r="V425" s="144"/>
      <c r="W425" s="144"/>
      <c r="X425" s="144"/>
      <c r="Y425" s="144"/>
      <c r="Z425" s="144"/>
      <c r="AA425" s="144"/>
      <c r="AB425" s="144"/>
      <c r="AC425" s="144"/>
      <c r="AD425" s="144"/>
      <c r="AE425" s="144"/>
      <c r="AF425" s="144"/>
      <c r="AG425" s="144"/>
      <c r="AH425" s="144"/>
      <c r="AI425" s="144"/>
      <c r="AJ425" s="144"/>
      <c r="AK425" s="144"/>
      <c r="AL425" s="144"/>
      <c r="AM425" s="144"/>
      <c r="AN425" s="144"/>
      <c r="AO425" s="144"/>
      <c r="AP425" s="144"/>
      <c r="AQ425" s="144"/>
      <c r="AR425" s="144"/>
      <c r="AS425" s="144"/>
      <c r="AT425" s="144"/>
      <c r="AU425" s="144"/>
      <c r="AV425" s="143" t="s">
        <v>1151</v>
      </c>
      <c r="AW425" s="144"/>
      <c r="AX425" s="145">
        <f>'Stavební rozpočet'!F426</f>
        <v>2.2029</v>
      </c>
      <c r="AY425" s="146"/>
      <c r="AZ425" s="146"/>
      <c r="BA425" s="146"/>
      <c r="BB425" s="146"/>
      <c r="BC425" s="145">
        <f>'Stavební rozpočet'!G426</f>
        <v>0</v>
      </c>
      <c r="BD425" s="146"/>
      <c r="BE425" s="146"/>
      <c r="BF425" s="146"/>
      <c r="BG425" s="146"/>
      <c r="BH425" s="146"/>
      <c r="BI425" s="146"/>
      <c r="BJ425" s="146"/>
      <c r="BK425" s="145">
        <f>IR425*AX425+IS425*AX425</f>
        <v>0</v>
      </c>
      <c r="BL425" s="146"/>
      <c r="BM425" s="146"/>
      <c r="BN425" s="146"/>
      <c r="BO425" s="146"/>
      <c r="BP425" s="146"/>
      <c r="BQ425" s="146"/>
      <c r="BR425" s="146"/>
      <c r="BS425" s="143" t="s">
        <v>1177</v>
      </c>
      <c r="BT425" s="144"/>
      <c r="BU425" s="144"/>
      <c r="BV425" s="144"/>
      <c r="BW425" s="144"/>
      <c r="BX425" s="144"/>
      <c r="IR425" s="47">
        <f>BC425*1</f>
        <v>0</v>
      </c>
      <c r="IS425" s="47">
        <f>BC425*(1-1)</f>
        <v>0</v>
      </c>
    </row>
    <row r="426" spans="1:253" ht="12.75">
      <c r="A426" s="132" t="s">
        <v>348</v>
      </c>
      <c r="B426" s="133"/>
      <c r="C426" s="132"/>
      <c r="D426" s="133"/>
      <c r="E426" s="133"/>
      <c r="F426" s="132" t="s">
        <v>708</v>
      </c>
      <c r="G426" s="133"/>
      <c r="H426" s="133"/>
      <c r="I426" s="133"/>
      <c r="J426" s="133"/>
      <c r="K426" s="133"/>
      <c r="L426" s="132" t="s">
        <v>1112</v>
      </c>
      <c r="M426" s="133"/>
      <c r="N426" s="133"/>
      <c r="O426" s="133"/>
      <c r="P426" s="133"/>
      <c r="Q426" s="133"/>
      <c r="R426" s="133"/>
      <c r="S426" s="133"/>
      <c r="T426" s="133"/>
      <c r="U426" s="133"/>
      <c r="V426" s="133"/>
      <c r="W426" s="133"/>
      <c r="X426" s="133"/>
      <c r="Y426" s="133"/>
      <c r="Z426" s="133"/>
      <c r="AA426" s="133"/>
      <c r="AB426" s="133"/>
      <c r="AC426" s="133"/>
      <c r="AD426" s="133"/>
      <c r="AE426" s="133"/>
      <c r="AF426" s="133"/>
      <c r="AG426" s="133"/>
      <c r="AH426" s="133"/>
      <c r="AI426" s="133"/>
      <c r="AJ426" s="133"/>
      <c r="AK426" s="133"/>
      <c r="AL426" s="133"/>
      <c r="AM426" s="133"/>
      <c r="AN426" s="133"/>
      <c r="AO426" s="133"/>
      <c r="AP426" s="133"/>
      <c r="AQ426" s="133"/>
      <c r="AR426" s="133"/>
      <c r="AS426" s="133"/>
      <c r="AT426" s="133"/>
      <c r="AU426" s="133"/>
      <c r="AV426" s="132" t="s">
        <v>1154</v>
      </c>
      <c r="AW426" s="133"/>
      <c r="AX426" s="134">
        <f>'Stavební rozpočet'!F427</f>
        <v>20.98</v>
      </c>
      <c r="AY426" s="135"/>
      <c r="AZ426" s="135"/>
      <c r="BA426" s="135"/>
      <c r="BB426" s="135"/>
      <c r="BC426" s="134">
        <f>'Stavební rozpočet'!G427</f>
        <v>0</v>
      </c>
      <c r="BD426" s="135"/>
      <c r="BE426" s="135"/>
      <c r="BF426" s="135"/>
      <c r="BG426" s="135"/>
      <c r="BH426" s="135"/>
      <c r="BI426" s="135"/>
      <c r="BJ426" s="135"/>
      <c r="BK426" s="134">
        <f>IR426*AX426+IS426*AX426</f>
        <v>0</v>
      </c>
      <c r="BL426" s="135"/>
      <c r="BM426" s="135"/>
      <c r="BN426" s="135"/>
      <c r="BO426" s="135"/>
      <c r="BP426" s="135"/>
      <c r="BQ426" s="135"/>
      <c r="BR426" s="135"/>
      <c r="BS426" s="132" t="s">
        <v>1177</v>
      </c>
      <c r="BT426" s="133"/>
      <c r="BU426" s="133"/>
      <c r="BV426" s="133"/>
      <c r="BW426" s="133"/>
      <c r="BX426" s="133"/>
      <c r="IR426" s="46">
        <f>BC426*0.0680904522613065</f>
        <v>0</v>
      </c>
      <c r="IS426" s="46">
        <f>BC426*(1-0.0680904522613065)</f>
        <v>0</v>
      </c>
    </row>
    <row r="427" spans="1:253" ht="12.75">
      <c r="A427" s="132" t="s">
        <v>349</v>
      </c>
      <c r="B427" s="133"/>
      <c r="C427" s="132"/>
      <c r="D427" s="133"/>
      <c r="E427" s="133"/>
      <c r="F427" s="132" t="s">
        <v>709</v>
      </c>
      <c r="G427" s="133"/>
      <c r="H427" s="133"/>
      <c r="I427" s="133"/>
      <c r="J427" s="133"/>
      <c r="K427" s="133"/>
      <c r="L427" s="132" t="s">
        <v>1113</v>
      </c>
      <c r="M427" s="133"/>
      <c r="N427" s="133"/>
      <c r="O427" s="133"/>
      <c r="P427" s="133"/>
      <c r="Q427" s="133"/>
      <c r="R427" s="133"/>
      <c r="S427" s="133"/>
      <c r="T427" s="133"/>
      <c r="U427" s="133"/>
      <c r="V427" s="133"/>
      <c r="W427" s="133"/>
      <c r="X427" s="133"/>
      <c r="Y427" s="133"/>
      <c r="Z427" s="133"/>
      <c r="AA427" s="133"/>
      <c r="AB427" s="133"/>
      <c r="AC427" s="133"/>
      <c r="AD427" s="133"/>
      <c r="AE427" s="133"/>
      <c r="AF427" s="133"/>
      <c r="AG427" s="133"/>
      <c r="AH427" s="133"/>
      <c r="AI427" s="133"/>
      <c r="AJ427" s="133"/>
      <c r="AK427" s="133"/>
      <c r="AL427" s="133"/>
      <c r="AM427" s="133"/>
      <c r="AN427" s="133"/>
      <c r="AO427" s="133"/>
      <c r="AP427" s="133"/>
      <c r="AQ427" s="133"/>
      <c r="AR427" s="133"/>
      <c r="AS427" s="133"/>
      <c r="AT427" s="133"/>
      <c r="AU427" s="133"/>
      <c r="AV427" s="132" t="s">
        <v>1151</v>
      </c>
      <c r="AW427" s="133"/>
      <c r="AX427" s="134">
        <f>'Stavební rozpočet'!F428</f>
        <v>40.91</v>
      </c>
      <c r="AY427" s="135"/>
      <c r="AZ427" s="135"/>
      <c r="BA427" s="135"/>
      <c r="BB427" s="135"/>
      <c r="BC427" s="134">
        <f>'Stavební rozpočet'!G428</f>
        <v>0</v>
      </c>
      <c r="BD427" s="135"/>
      <c r="BE427" s="135"/>
      <c r="BF427" s="135"/>
      <c r="BG427" s="135"/>
      <c r="BH427" s="135"/>
      <c r="BI427" s="135"/>
      <c r="BJ427" s="135"/>
      <c r="BK427" s="134">
        <f>IR427*AX427+IS427*AX427</f>
        <v>0</v>
      </c>
      <c r="BL427" s="135"/>
      <c r="BM427" s="135"/>
      <c r="BN427" s="135"/>
      <c r="BO427" s="135"/>
      <c r="BP427" s="135"/>
      <c r="BQ427" s="135"/>
      <c r="BR427" s="135"/>
      <c r="BS427" s="132" t="s">
        <v>1177</v>
      </c>
      <c r="BT427" s="133"/>
      <c r="BU427" s="133"/>
      <c r="BV427" s="133"/>
      <c r="BW427" s="133"/>
      <c r="BX427" s="133"/>
      <c r="IR427" s="46">
        <f>BC427*0.185121716472218</f>
        <v>0</v>
      </c>
      <c r="IS427" s="46">
        <f>BC427*(1-0.185121716472218)</f>
        <v>0</v>
      </c>
    </row>
    <row r="428" spans="1:76" ht="12.75">
      <c r="A428" s="132"/>
      <c r="B428" s="133"/>
      <c r="C428" s="133"/>
      <c r="D428" s="133"/>
      <c r="E428" s="133"/>
      <c r="F428" s="133"/>
      <c r="G428" s="133"/>
      <c r="H428" s="133"/>
      <c r="I428" s="133"/>
      <c r="J428" s="133"/>
      <c r="K428" s="133"/>
      <c r="L428" s="141" t="s">
        <v>1109</v>
      </c>
      <c r="M428" s="142"/>
      <c r="N428" s="142"/>
      <c r="O428" s="142"/>
      <c r="P428" s="142"/>
      <c r="Q428" s="142"/>
      <c r="R428" s="142"/>
      <c r="S428" s="142"/>
      <c r="T428" s="142"/>
      <c r="U428" s="142"/>
      <c r="V428" s="142"/>
      <c r="W428" s="142"/>
      <c r="X428" s="142"/>
      <c r="Y428" s="142"/>
      <c r="Z428" s="142"/>
      <c r="AA428" s="142"/>
      <c r="AB428" s="142"/>
      <c r="AC428" s="142"/>
      <c r="AD428" s="142"/>
      <c r="AE428" s="142"/>
      <c r="AF428" s="142"/>
      <c r="AG428" s="142"/>
      <c r="AH428" s="142"/>
      <c r="AI428" s="142"/>
      <c r="AJ428" s="142"/>
      <c r="AK428" s="142"/>
      <c r="AL428" s="142"/>
      <c r="AM428" s="142"/>
      <c r="AN428" s="142"/>
      <c r="AO428" s="142"/>
      <c r="AP428" s="142"/>
      <c r="AQ428" s="142"/>
      <c r="AR428" s="142"/>
      <c r="AS428" s="142"/>
      <c r="AT428" s="142"/>
      <c r="AU428" s="142"/>
      <c r="AV428" s="132"/>
      <c r="AW428" s="133"/>
      <c r="AX428" s="133"/>
      <c r="AY428" s="133"/>
      <c r="AZ428" s="133"/>
      <c r="BA428" s="133"/>
      <c r="BB428" s="133"/>
      <c r="BC428" s="133"/>
      <c r="BD428" s="133"/>
      <c r="BE428" s="133"/>
      <c r="BF428" s="133"/>
      <c r="BG428" s="133"/>
      <c r="BH428" s="133"/>
      <c r="BI428" s="133"/>
      <c r="BJ428" s="133"/>
      <c r="BK428" s="133"/>
      <c r="BL428" s="133"/>
      <c r="BM428" s="133"/>
      <c r="BN428" s="133"/>
      <c r="BO428" s="133"/>
      <c r="BP428" s="133"/>
      <c r="BQ428" s="133"/>
      <c r="BR428" s="133"/>
      <c r="BS428" s="133"/>
      <c r="BT428" s="133"/>
      <c r="BU428" s="133"/>
      <c r="BV428" s="133"/>
      <c r="BW428" s="133"/>
      <c r="BX428" s="133"/>
    </row>
    <row r="429" spans="1:253" ht="12.75">
      <c r="A429" s="143" t="s">
        <v>350</v>
      </c>
      <c r="B429" s="144"/>
      <c r="C429" s="143"/>
      <c r="D429" s="144"/>
      <c r="E429" s="144"/>
      <c r="F429" s="143" t="s">
        <v>707</v>
      </c>
      <c r="G429" s="144"/>
      <c r="H429" s="144"/>
      <c r="I429" s="144"/>
      <c r="J429" s="144"/>
      <c r="K429" s="144"/>
      <c r="L429" s="143" t="s">
        <v>1111</v>
      </c>
      <c r="M429" s="144"/>
      <c r="N429" s="144"/>
      <c r="O429" s="144"/>
      <c r="P429" s="144"/>
      <c r="Q429" s="144"/>
      <c r="R429" s="144"/>
      <c r="S429" s="144"/>
      <c r="T429" s="144"/>
      <c r="U429" s="144"/>
      <c r="V429" s="144"/>
      <c r="W429" s="144"/>
      <c r="X429" s="144"/>
      <c r="Y429" s="144"/>
      <c r="Z429" s="144"/>
      <c r="AA429" s="144"/>
      <c r="AB429" s="144"/>
      <c r="AC429" s="144"/>
      <c r="AD429" s="144"/>
      <c r="AE429" s="144"/>
      <c r="AF429" s="144"/>
      <c r="AG429" s="144"/>
      <c r="AH429" s="144"/>
      <c r="AI429" s="144"/>
      <c r="AJ429" s="144"/>
      <c r="AK429" s="144"/>
      <c r="AL429" s="144"/>
      <c r="AM429" s="144"/>
      <c r="AN429" s="144"/>
      <c r="AO429" s="144"/>
      <c r="AP429" s="144"/>
      <c r="AQ429" s="144"/>
      <c r="AR429" s="144"/>
      <c r="AS429" s="144"/>
      <c r="AT429" s="144"/>
      <c r="AU429" s="144"/>
      <c r="AV429" s="143" t="s">
        <v>1151</v>
      </c>
      <c r="AW429" s="144"/>
      <c r="AX429" s="145">
        <f>'Stavební rozpočet'!F430</f>
        <v>42.9555</v>
      </c>
      <c r="AY429" s="146"/>
      <c r="AZ429" s="146"/>
      <c r="BA429" s="146"/>
      <c r="BB429" s="146"/>
      <c r="BC429" s="145">
        <f>'Stavební rozpočet'!G430</f>
        <v>0</v>
      </c>
      <c r="BD429" s="146"/>
      <c r="BE429" s="146"/>
      <c r="BF429" s="146"/>
      <c r="BG429" s="146"/>
      <c r="BH429" s="146"/>
      <c r="BI429" s="146"/>
      <c r="BJ429" s="146"/>
      <c r="BK429" s="145">
        <f>IR429*AX429+IS429*AX429</f>
        <v>0</v>
      </c>
      <c r="BL429" s="146"/>
      <c r="BM429" s="146"/>
      <c r="BN429" s="146"/>
      <c r="BO429" s="146"/>
      <c r="BP429" s="146"/>
      <c r="BQ429" s="146"/>
      <c r="BR429" s="146"/>
      <c r="BS429" s="143" t="s">
        <v>1177</v>
      </c>
      <c r="BT429" s="144"/>
      <c r="BU429" s="144"/>
      <c r="BV429" s="144"/>
      <c r="BW429" s="144"/>
      <c r="BX429" s="144"/>
      <c r="IR429" s="47">
        <f>BC429*1</f>
        <v>0</v>
      </c>
      <c r="IS429" s="47">
        <f>BC429*(1-1)</f>
        <v>0</v>
      </c>
    </row>
    <row r="430" spans="1:253" ht="12.75">
      <c r="A430" s="132" t="s">
        <v>351</v>
      </c>
      <c r="B430" s="133"/>
      <c r="C430" s="132"/>
      <c r="D430" s="133"/>
      <c r="E430" s="133"/>
      <c r="F430" s="132" t="s">
        <v>710</v>
      </c>
      <c r="G430" s="133"/>
      <c r="H430" s="133"/>
      <c r="I430" s="133"/>
      <c r="J430" s="133"/>
      <c r="K430" s="133"/>
      <c r="L430" s="132" t="s">
        <v>1114</v>
      </c>
      <c r="M430" s="133"/>
      <c r="N430" s="133"/>
      <c r="O430" s="133"/>
      <c r="P430" s="133"/>
      <c r="Q430" s="133"/>
      <c r="R430" s="133"/>
      <c r="S430" s="133"/>
      <c r="T430" s="133"/>
      <c r="U430" s="133"/>
      <c r="V430" s="133"/>
      <c r="W430" s="133"/>
      <c r="X430" s="133"/>
      <c r="Y430" s="133"/>
      <c r="Z430" s="133"/>
      <c r="AA430" s="133"/>
      <c r="AB430" s="133"/>
      <c r="AC430" s="133"/>
      <c r="AD430" s="133"/>
      <c r="AE430" s="133"/>
      <c r="AF430" s="133"/>
      <c r="AG430" s="133"/>
      <c r="AH430" s="133"/>
      <c r="AI430" s="133"/>
      <c r="AJ430" s="133"/>
      <c r="AK430" s="133"/>
      <c r="AL430" s="133"/>
      <c r="AM430" s="133"/>
      <c r="AN430" s="133"/>
      <c r="AO430" s="133"/>
      <c r="AP430" s="133"/>
      <c r="AQ430" s="133"/>
      <c r="AR430" s="133"/>
      <c r="AS430" s="133"/>
      <c r="AT430" s="133"/>
      <c r="AU430" s="133"/>
      <c r="AV430" s="132" t="s">
        <v>1154</v>
      </c>
      <c r="AW430" s="133"/>
      <c r="AX430" s="134">
        <f>'Stavební rozpočet'!F431</f>
        <v>31.1</v>
      </c>
      <c r="AY430" s="135"/>
      <c r="AZ430" s="135"/>
      <c r="BA430" s="135"/>
      <c r="BB430" s="135"/>
      <c r="BC430" s="134">
        <f>'Stavební rozpočet'!G431</f>
        <v>0</v>
      </c>
      <c r="BD430" s="135"/>
      <c r="BE430" s="135"/>
      <c r="BF430" s="135"/>
      <c r="BG430" s="135"/>
      <c r="BH430" s="135"/>
      <c r="BI430" s="135"/>
      <c r="BJ430" s="135"/>
      <c r="BK430" s="134">
        <f>IR430*AX430+IS430*AX430</f>
        <v>0</v>
      </c>
      <c r="BL430" s="135"/>
      <c r="BM430" s="135"/>
      <c r="BN430" s="135"/>
      <c r="BO430" s="135"/>
      <c r="BP430" s="135"/>
      <c r="BQ430" s="135"/>
      <c r="BR430" s="135"/>
      <c r="BS430" s="132" t="s">
        <v>1177</v>
      </c>
      <c r="BT430" s="133"/>
      <c r="BU430" s="133"/>
      <c r="BV430" s="133"/>
      <c r="BW430" s="133"/>
      <c r="BX430" s="133"/>
      <c r="IR430" s="46">
        <f>BC430*0.666597222222222</f>
        <v>0</v>
      </c>
      <c r="IS430" s="46">
        <f>BC430*(1-0.666597222222222)</f>
        <v>0</v>
      </c>
    </row>
    <row r="431" spans="1:253" ht="12.75">
      <c r="A431" s="132" t="s">
        <v>352</v>
      </c>
      <c r="B431" s="133"/>
      <c r="C431" s="132"/>
      <c r="D431" s="133"/>
      <c r="E431" s="133"/>
      <c r="F431" s="132" t="s">
        <v>711</v>
      </c>
      <c r="G431" s="133"/>
      <c r="H431" s="133"/>
      <c r="I431" s="133"/>
      <c r="J431" s="133"/>
      <c r="K431" s="133"/>
      <c r="L431" s="132" t="s">
        <v>1115</v>
      </c>
      <c r="M431" s="133"/>
      <c r="N431" s="133"/>
      <c r="O431" s="133"/>
      <c r="P431" s="133"/>
      <c r="Q431" s="133"/>
      <c r="R431" s="133"/>
      <c r="S431" s="133"/>
      <c r="T431" s="133"/>
      <c r="U431" s="133"/>
      <c r="V431" s="133"/>
      <c r="W431" s="133"/>
      <c r="X431" s="133"/>
      <c r="Y431" s="133"/>
      <c r="Z431" s="133"/>
      <c r="AA431" s="133"/>
      <c r="AB431" s="133"/>
      <c r="AC431" s="133"/>
      <c r="AD431" s="133"/>
      <c r="AE431" s="133"/>
      <c r="AF431" s="133"/>
      <c r="AG431" s="133"/>
      <c r="AH431" s="133"/>
      <c r="AI431" s="133"/>
      <c r="AJ431" s="133"/>
      <c r="AK431" s="133"/>
      <c r="AL431" s="133"/>
      <c r="AM431" s="133"/>
      <c r="AN431" s="133"/>
      <c r="AO431" s="133"/>
      <c r="AP431" s="133"/>
      <c r="AQ431" s="133"/>
      <c r="AR431" s="133"/>
      <c r="AS431" s="133"/>
      <c r="AT431" s="133"/>
      <c r="AU431" s="133"/>
      <c r="AV431" s="132" t="s">
        <v>1151</v>
      </c>
      <c r="AW431" s="133"/>
      <c r="AX431" s="134">
        <f>'Stavební rozpočet'!F432</f>
        <v>7.32</v>
      </c>
      <c r="AY431" s="135"/>
      <c r="AZ431" s="135"/>
      <c r="BA431" s="135"/>
      <c r="BB431" s="135"/>
      <c r="BC431" s="134">
        <f>'Stavební rozpočet'!G432</f>
        <v>0</v>
      </c>
      <c r="BD431" s="135"/>
      <c r="BE431" s="135"/>
      <c r="BF431" s="135"/>
      <c r="BG431" s="135"/>
      <c r="BH431" s="135"/>
      <c r="BI431" s="135"/>
      <c r="BJ431" s="135"/>
      <c r="BK431" s="134">
        <f>IR431*AX431+IS431*AX431</f>
        <v>0</v>
      </c>
      <c r="BL431" s="135"/>
      <c r="BM431" s="135"/>
      <c r="BN431" s="135"/>
      <c r="BO431" s="135"/>
      <c r="BP431" s="135"/>
      <c r="BQ431" s="135"/>
      <c r="BR431" s="135"/>
      <c r="BS431" s="132" t="s">
        <v>1177</v>
      </c>
      <c r="BT431" s="133"/>
      <c r="BU431" s="133"/>
      <c r="BV431" s="133"/>
      <c r="BW431" s="133"/>
      <c r="BX431" s="133"/>
      <c r="IR431" s="46">
        <f>BC431*0</f>
        <v>0</v>
      </c>
      <c r="IS431" s="46">
        <f>BC431*(1-0)</f>
        <v>0</v>
      </c>
    </row>
    <row r="432" spans="1:253" ht="12.75">
      <c r="A432" s="132" t="s">
        <v>353</v>
      </c>
      <c r="B432" s="133"/>
      <c r="C432" s="132"/>
      <c r="D432" s="133"/>
      <c r="E432" s="133"/>
      <c r="F432" s="132" t="s">
        <v>712</v>
      </c>
      <c r="G432" s="133"/>
      <c r="H432" s="133"/>
      <c r="I432" s="133"/>
      <c r="J432" s="133"/>
      <c r="K432" s="133"/>
      <c r="L432" s="132" t="s">
        <v>1116</v>
      </c>
      <c r="M432" s="133"/>
      <c r="N432" s="133"/>
      <c r="O432" s="133"/>
      <c r="P432" s="133"/>
      <c r="Q432" s="133"/>
      <c r="R432" s="133"/>
      <c r="S432" s="133"/>
      <c r="T432" s="133"/>
      <c r="U432" s="133"/>
      <c r="V432" s="133"/>
      <c r="W432" s="133"/>
      <c r="X432" s="133"/>
      <c r="Y432" s="133"/>
      <c r="Z432" s="133"/>
      <c r="AA432" s="133"/>
      <c r="AB432" s="133"/>
      <c r="AC432" s="133"/>
      <c r="AD432" s="133"/>
      <c r="AE432" s="133"/>
      <c r="AF432" s="133"/>
      <c r="AG432" s="133"/>
      <c r="AH432" s="133"/>
      <c r="AI432" s="133"/>
      <c r="AJ432" s="133"/>
      <c r="AK432" s="133"/>
      <c r="AL432" s="133"/>
      <c r="AM432" s="133"/>
      <c r="AN432" s="133"/>
      <c r="AO432" s="133"/>
      <c r="AP432" s="133"/>
      <c r="AQ432" s="133"/>
      <c r="AR432" s="133"/>
      <c r="AS432" s="133"/>
      <c r="AT432" s="133"/>
      <c r="AU432" s="133"/>
      <c r="AV432" s="132" t="s">
        <v>1151</v>
      </c>
      <c r="AW432" s="133"/>
      <c r="AX432" s="134">
        <f>'Stavební rozpočet'!F433</f>
        <v>40.91</v>
      </c>
      <c r="AY432" s="135"/>
      <c r="AZ432" s="135"/>
      <c r="BA432" s="135"/>
      <c r="BB432" s="135"/>
      <c r="BC432" s="134">
        <f>'Stavební rozpočet'!G433</f>
        <v>0</v>
      </c>
      <c r="BD432" s="135"/>
      <c r="BE432" s="135"/>
      <c r="BF432" s="135"/>
      <c r="BG432" s="135"/>
      <c r="BH432" s="135"/>
      <c r="BI432" s="135"/>
      <c r="BJ432" s="135"/>
      <c r="BK432" s="134">
        <f>IR432*AX432+IS432*AX432</f>
        <v>0</v>
      </c>
      <c r="BL432" s="135"/>
      <c r="BM432" s="135"/>
      <c r="BN432" s="135"/>
      <c r="BO432" s="135"/>
      <c r="BP432" s="135"/>
      <c r="BQ432" s="135"/>
      <c r="BR432" s="135"/>
      <c r="BS432" s="132" t="s">
        <v>1177</v>
      </c>
      <c r="BT432" s="133"/>
      <c r="BU432" s="133"/>
      <c r="BV432" s="133"/>
      <c r="BW432" s="133"/>
      <c r="BX432" s="133"/>
      <c r="IR432" s="46">
        <f>BC432*1</f>
        <v>0</v>
      </c>
      <c r="IS432" s="46">
        <f>BC432*(1-1)</f>
        <v>0</v>
      </c>
    </row>
    <row r="433" spans="1:253" ht="12.75">
      <c r="A433" s="132" t="s">
        <v>354</v>
      </c>
      <c r="B433" s="133"/>
      <c r="C433" s="132"/>
      <c r="D433" s="133"/>
      <c r="E433" s="133"/>
      <c r="F433" s="132" t="s">
        <v>713</v>
      </c>
      <c r="G433" s="133"/>
      <c r="H433" s="133"/>
      <c r="I433" s="133"/>
      <c r="J433" s="133"/>
      <c r="K433" s="133"/>
      <c r="L433" s="132" t="s">
        <v>1117</v>
      </c>
      <c r="M433" s="133"/>
      <c r="N433" s="133"/>
      <c r="O433" s="133"/>
      <c r="P433" s="133"/>
      <c r="Q433" s="133"/>
      <c r="R433" s="133"/>
      <c r="S433" s="133"/>
      <c r="T433" s="133"/>
      <c r="U433" s="133"/>
      <c r="V433" s="133"/>
      <c r="W433" s="133"/>
      <c r="X433" s="133"/>
      <c r="Y433" s="133"/>
      <c r="Z433" s="133"/>
      <c r="AA433" s="133"/>
      <c r="AB433" s="133"/>
      <c r="AC433" s="133"/>
      <c r="AD433" s="133"/>
      <c r="AE433" s="133"/>
      <c r="AF433" s="133"/>
      <c r="AG433" s="133"/>
      <c r="AH433" s="133"/>
      <c r="AI433" s="133"/>
      <c r="AJ433" s="133"/>
      <c r="AK433" s="133"/>
      <c r="AL433" s="133"/>
      <c r="AM433" s="133"/>
      <c r="AN433" s="133"/>
      <c r="AO433" s="133"/>
      <c r="AP433" s="133"/>
      <c r="AQ433" s="133"/>
      <c r="AR433" s="133"/>
      <c r="AS433" s="133"/>
      <c r="AT433" s="133"/>
      <c r="AU433" s="133"/>
      <c r="AV433" s="132" t="s">
        <v>1152</v>
      </c>
      <c r="AW433" s="133"/>
      <c r="AX433" s="134">
        <f>'Stavební rozpočet'!F434</f>
        <v>1.1116</v>
      </c>
      <c r="AY433" s="135"/>
      <c r="AZ433" s="135"/>
      <c r="BA433" s="135"/>
      <c r="BB433" s="135"/>
      <c r="BC433" s="134">
        <f>'Stavební rozpočet'!G434</f>
        <v>0</v>
      </c>
      <c r="BD433" s="135"/>
      <c r="BE433" s="135"/>
      <c r="BF433" s="135"/>
      <c r="BG433" s="135"/>
      <c r="BH433" s="135"/>
      <c r="BI433" s="135"/>
      <c r="BJ433" s="135"/>
      <c r="BK433" s="134">
        <f>IR433*AX433+IS433*AX433</f>
        <v>0</v>
      </c>
      <c r="BL433" s="135"/>
      <c r="BM433" s="135"/>
      <c r="BN433" s="135"/>
      <c r="BO433" s="135"/>
      <c r="BP433" s="135"/>
      <c r="BQ433" s="135"/>
      <c r="BR433" s="135"/>
      <c r="BS433" s="132" t="s">
        <v>1177</v>
      </c>
      <c r="BT433" s="133"/>
      <c r="BU433" s="133"/>
      <c r="BV433" s="133"/>
      <c r="BW433" s="133"/>
      <c r="BX433" s="133"/>
      <c r="IR433" s="46">
        <f>BC433*0</f>
        <v>0</v>
      </c>
      <c r="IS433" s="46">
        <f>BC433*(1-0)</f>
        <v>0</v>
      </c>
    </row>
    <row r="434" spans="1:76" ht="12.75">
      <c r="A434" s="136" t="s">
        <v>6</v>
      </c>
      <c r="B434" s="137"/>
      <c r="C434" s="136" t="s">
        <v>6</v>
      </c>
      <c r="D434" s="137"/>
      <c r="E434" s="137"/>
      <c r="F434" s="136" t="s">
        <v>714</v>
      </c>
      <c r="G434" s="137"/>
      <c r="H434" s="137"/>
      <c r="I434" s="137"/>
      <c r="J434" s="137"/>
      <c r="K434" s="137"/>
      <c r="L434" s="136" t="s">
        <v>1118</v>
      </c>
      <c r="M434" s="137"/>
      <c r="N434" s="137"/>
      <c r="O434" s="137"/>
      <c r="P434" s="137"/>
      <c r="Q434" s="137"/>
      <c r="R434" s="137"/>
      <c r="S434" s="137"/>
      <c r="T434" s="137"/>
      <c r="U434" s="137"/>
      <c r="V434" s="137"/>
      <c r="W434" s="137"/>
      <c r="X434" s="137"/>
      <c r="Y434" s="137"/>
      <c r="Z434" s="137"/>
      <c r="AA434" s="137"/>
      <c r="AB434" s="137"/>
      <c r="AC434" s="137"/>
      <c r="AD434" s="137"/>
      <c r="AE434" s="137"/>
      <c r="AF434" s="137"/>
      <c r="AG434" s="137"/>
      <c r="AH434" s="137"/>
      <c r="AI434" s="137"/>
      <c r="AJ434" s="137"/>
      <c r="AK434" s="137"/>
      <c r="AL434" s="137"/>
      <c r="AM434" s="137"/>
      <c r="AN434" s="137"/>
      <c r="AO434" s="137"/>
      <c r="AP434" s="137"/>
      <c r="AQ434" s="137"/>
      <c r="AR434" s="137"/>
      <c r="AS434" s="137"/>
      <c r="AT434" s="137"/>
      <c r="AU434" s="137"/>
      <c r="AV434" s="136" t="s">
        <v>6</v>
      </c>
      <c r="AW434" s="137"/>
      <c r="AX434" s="138" t="s">
        <v>6</v>
      </c>
      <c r="AY434" s="139"/>
      <c r="AZ434" s="139"/>
      <c r="BA434" s="139"/>
      <c r="BB434" s="139"/>
      <c r="BC434" s="138" t="s">
        <v>6</v>
      </c>
      <c r="BD434" s="139"/>
      <c r="BE434" s="139"/>
      <c r="BF434" s="139"/>
      <c r="BG434" s="139"/>
      <c r="BH434" s="139"/>
      <c r="BI434" s="139"/>
      <c r="BJ434" s="139"/>
      <c r="BK434" s="140">
        <f>SUM(BK435:BK448)</f>
        <v>0</v>
      </c>
      <c r="BL434" s="139"/>
      <c r="BM434" s="139"/>
      <c r="BN434" s="139"/>
      <c r="BO434" s="139"/>
      <c r="BP434" s="139"/>
      <c r="BQ434" s="139"/>
      <c r="BR434" s="139"/>
      <c r="BS434" s="136" t="s">
        <v>6</v>
      </c>
      <c r="BT434" s="137"/>
      <c r="BU434" s="137"/>
      <c r="BV434" s="137"/>
      <c r="BW434" s="137"/>
      <c r="BX434" s="137"/>
    </row>
    <row r="435" spans="1:253" ht="12.75">
      <c r="A435" s="132" t="s">
        <v>355</v>
      </c>
      <c r="B435" s="133"/>
      <c r="C435" s="132"/>
      <c r="D435" s="133"/>
      <c r="E435" s="133"/>
      <c r="F435" s="132" t="s">
        <v>715</v>
      </c>
      <c r="G435" s="133"/>
      <c r="H435" s="133"/>
      <c r="I435" s="133"/>
      <c r="J435" s="133"/>
      <c r="K435" s="133"/>
      <c r="L435" s="132" t="s">
        <v>1119</v>
      </c>
      <c r="M435" s="133"/>
      <c r="N435" s="133"/>
      <c r="O435" s="133"/>
      <c r="P435" s="133"/>
      <c r="Q435" s="133"/>
      <c r="R435" s="133"/>
      <c r="S435" s="133"/>
      <c r="T435" s="133"/>
      <c r="U435" s="133"/>
      <c r="V435" s="133"/>
      <c r="W435" s="133"/>
      <c r="X435" s="133"/>
      <c r="Y435" s="133"/>
      <c r="Z435" s="133"/>
      <c r="AA435" s="133"/>
      <c r="AB435" s="133"/>
      <c r="AC435" s="133"/>
      <c r="AD435" s="133"/>
      <c r="AE435" s="133"/>
      <c r="AF435" s="133"/>
      <c r="AG435" s="133"/>
      <c r="AH435" s="133"/>
      <c r="AI435" s="133"/>
      <c r="AJ435" s="133"/>
      <c r="AK435" s="133"/>
      <c r="AL435" s="133"/>
      <c r="AM435" s="133"/>
      <c r="AN435" s="133"/>
      <c r="AO435" s="133"/>
      <c r="AP435" s="133"/>
      <c r="AQ435" s="133"/>
      <c r="AR435" s="133"/>
      <c r="AS435" s="133"/>
      <c r="AT435" s="133"/>
      <c r="AU435" s="133"/>
      <c r="AV435" s="132" t="s">
        <v>1151</v>
      </c>
      <c r="AW435" s="133"/>
      <c r="AX435" s="134">
        <f>'Stavební rozpočet'!F436</f>
        <v>46.65</v>
      </c>
      <c r="AY435" s="135"/>
      <c r="AZ435" s="135"/>
      <c r="BA435" s="135"/>
      <c r="BB435" s="135"/>
      <c r="BC435" s="134">
        <f>'Stavební rozpočet'!G436</f>
        <v>0</v>
      </c>
      <c r="BD435" s="135"/>
      <c r="BE435" s="135"/>
      <c r="BF435" s="135"/>
      <c r="BG435" s="135"/>
      <c r="BH435" s="135"/>
      <c r="BI435" s="135"/>
      <c r="BJ435" s="135"/>
      <c r="BK435" s="134">
        <f aca="true" t="shared" si="28" ref="BK435:BK445">IR435*AX435+IS435*AX435</f>
        <v>0</v>
      </c>
      <c r="BL435" s="135"/>
      <c r="BM435" s="135"/>
      <c r="BN435" s="135"/>
      <c r="BO435" s="135"/>
      <c r="BP435" s="135"/>
      <c r="BQ435" s="135"/>
      <c r="BR435" s="135"/>
      <c r="BS435" s="132" t="s">
        <v>1177</v>
      </c>
      <c r="BT435" s="133"/>
      <c r="BU435" s="133"/>
      <c r="BV435" s="133"/>
      <c r="BW435" s="133"/>
      <c r="BX435" s="133"/>
      <c r="IR435" s="46">
        <f>BC435*0.503921568627451</f>
        <v>0</v>
      </c>
      <c r="IS435" s="46">
        <f>BC435*(1-0.503921568627451)</f>
        <v>0</v>
      </c>
    </row>
    <row r="436" spans="1:253" ht="12.75">
      <c r="A436" s="132" t="s">
        <v>356</v>
      </c>
      <c r="B436" s="133"/>
      <c r="C436" s="132"/>
      <c r="D436" s="133"/>
      <c r="E436" s="133"/>
      <c r="F436" s="132" t="s">
        <v>716</v>
      </c>
      <c r="G436" s="133"/>
      <c r="H436" s="133"/>
      <c r="I436" s="133"/>
      <c r="J436" s="133"/>
      <c r="K436" s="133"/>
      <c r="L436" s="132" t="s">
        <v>1120</v>
      </c>
      <c r="M436" s="133"/>
      <c r="N436" s="133"/>
      <c r="O436" s="133"/>
      <c r="P436" s="133"/>
      <c r="Q436" s="133"/>
      <c r="R436" s="133"/>
      <c r="S436" s="133"/>
      <c r="T436" s="133"/>
      <c r="U436" s="133"/>
      <c r="V436" s="133"/>
      <c r="W436" s="133"/>
      <c r="X436" s="133"/>
      <c r="Y436" s="133"/>
      <c r="Z436" s="133"/>
      <c r="AA436" s="133"/>
      <c r="AB436" s="133"/>
      <c r="AC436" s="133"/>
      <c r="AD436" s="133"/>
      <c r="AE436" s="133"/>
      <c r="AF436" s="133"/>
      <c r="AG436" s="133"/>
      <c r="AH436" s="133"/>
      <c r="AI436" s="133"/>
      <c r="AJ436" s="133"/>
      <c r="AK436" s="133"/>
      <c r="AL436" s="133"/>
      <c r="AM436" s="133"/>
      <c r="AN436" s="133"/>
      <c r="AO436" s="133"/>
      <c r="AP436" s="133"/>
      <c r="AQ436" s="133"/>
      <c r="AR436" s="133"/>
      <c r="AS436" s="133"/>
      <c r="AT436" s="133"/>
      <c r="AU436" s="133"/>
      <c r="AV436" s="132" t="s">
        <v>1153</v>
      </c>
      <c r="AW436" s="133"/>
      <c r="AX436" s="134">
        <f>'Stavební rozpočet'!F437</f>
        <v>6</v>
      </c>
      <c r="AY436" s="135"/>
      <c r="AZ436" s="135"/>
      <c r="BA436" s="135"/>
      <c r="BB436" s="135"/>
      <c r="BC436" s="134">
        <f>'Stavební rozpočet'!G437</f>
        <v>0</v>
      </c>
      <c r="BD436" s="135"/>
      <c r="BE436" s="135"/>
      <c r="BF436" s="135"/>
      <c r="BG436" s="135"/>
      <c r="BH436" s="135"/>
      <c r="BI436" s="135"/>
      <c r="BJ436" s="135"/>
      <c r="BK436" s="134">
        <f t="shared" si="28"/>
        <v>0</v>
      </c>
      <c r="BL436" s="135"/>
      <c r="BM436" s="135"/>
      <c r="BN436" s="135"/>
      <c r="BO436" s="135"/>
      <c r="BP436" s="135"/>
      <c r="BQ436" s="135"/>
      <c r="BR436" s="135"/>
      <c r="BS436" s="132" t="s">
        <v>1177</v>
      </c>
      <c r="BT436" s="133"/>
      <c r="BU436" s="133"/>
      <c r="BV436" s="133"/>
      <c r="BW436" s="133"/>
      <c r="BX436" s="133"/>
      <c r="IR436" s="46">
        <f>BC436*0.0243373493975904</f>
        <v>0</v>
      </c>
      <c r="IS436" s="46">
        <f>BC436*(1-0.0243373493975904)</f>
        <v>0</v>
      </c>
    </row>
    <row r="437" spans="1:253" ht="12.75">
      <c r="A437" s="132" t="s">
        <v>357</v>
      </c>
      <c r="B437" s="133"/>
      <c r="C437" s="132"/>
      <c r="D437" s="133"/>
      <c r="E437" s="133"/>
      <c r="F437" s="132" t="s">
        <v>717</v>
      </c>
      <c r="G437" s="133"/>
      <c r="H437" s="133"/>
      <c r="I437" s="133"/>
      <c r="J437" s="133"/>
      <c r="K437" s="133"/>
      <c r="L437" s="132" t="s">
        <v>1121</v>
      </c>
      <c r="M437" s="133"/>
      <c r="N437" s="133"/>
      <c r="O437" s="133"/>
      <c r="P437" s="133"/>
      <c r="Q437" s="133"/>
      <c r="R437" s="133"/>
      <c r="S437" s="133"/>
      <c r="T437" s="133"/>
      <c r="U437" s="133"/>
      <c r="V437" s="133"/>
      <c r="W437" s="133"/>
      <c r="X437" s="133"/>
      <c r="Y437" s="133"/>
      <c r="Z437" s="133"/>
      <c r="AA437" s="133"/>
      <c r="AB437" s="133"/>
      <c r="AC437" s="133"/>
      <c r="AD437" s="133"/>
      <c r="AE437" s="133"/>
      <c r="AF437" s="133"/>
      <c r="AG437" s="133"/>
      <c r="AH437" s="133"/>
      <c r="AI437" s="133"/>
      <c r="AJ437" s="133"/>
      <c r="AK437" s="133"/>
      <c r="AL437" s="133"/>
      <c r="AM437" s="133"/>
      <c r="AN437" s="133"/>
      <c r="AO437" s="133"/>
      <c r="AP437" s="133"/>
      <c r="AQ437" s="133"/>
      <c r="AR437" s="133"/>
      <c r="AS437" s="133"/>
      <c r="AT437" s="133"/>
      <c r="AU437" s="133"/>
      <c r="AV437" s="132" t="s">
        <v>1153</v>
      </c>
      <c r="AW437" s="133"/>
      <c r="AX437" s="134">
        <f>'Stavební rozpočet'!F438</f>
        <v>9</v>
      </c>
      <c r="AY437" s="135"/>
      <c r="AZ437" s="135"/>
      <c r="BA437" s="135"/>
      <c r="BB437" s="135"/>
      <c r="BC437" s="134">
        <f>'Stavební rozpočet'!G438</f>
        <v>0</v>
      </c>
      <c r="BD437" s="135"/>
      <c r="BE437" s="135"/>
      <c r="BF437" s="135"/>
      <c r="BG437" s="135"/>
      <c r="BH437" s="135"/>
      <c r="BI437" s="135"/>
      <c r="BJ437" s="135"/>
      <c r="BK437" s="134">
        <f t="shared" si="28"/>
        <v>0</v>
      </c>
      <c r="BL437" s="135"/>
      <c r="BM437" s="135"/>
      <c r="BN437" s="135"/>
      <c r="BO437" s="135"/>
      <c r="BP437" s="135"/>
      <c r="BQ437" s="135"/>
      <c r="BR437" s="135"/>
      <c r="BS437" s="132" t="s">
        <v>1177</v>
      </c>
      <c r="BT437" s="133"/>
      <c r="BU437" s="133"/>
      <c r="BV437" s="133"/>
      <c r="BW437" s="133"/>
      <c r="BX437" s="133"/>
      <c r="IR437" s="46">
        <f>BC437*0.0790890269151139</f>
        <v>0</v>
      </c>
      <c r="IS437" s="46">
        <f>BC437*(1-0.0790890269151139)</f>
        <v>0</v>
      </c>
    </row>
    <row r="438" spans="1:253" ht="12.75">
      <c r="A438" s="132" t="s">
        <v>358</v>
      </c>
      <c r="B438" s="133"/>
      <c r="C438" s="132"/>
      <c r="D438" s="133"/>
      <c r="E438" s="133"/>
      <c r="F438" s="132" t="s">
        <v>718</v>
      </c>
      <c r="G438" s="133"/>
      <c r="H438" s="133"/>
      <c r="I438" s="133"/>
      <c r="J438" s="133"/>
      <c r="K438" s="133"/>
      <c r="L438" s="132" t="s">
        <v>1122</v>
      </c>
      <c r="M438" s="133"/>
      <c r="N438" s="133"/>
      <c r="O438" s="133"/>
      <c r="P438" s="133"/>
      <c r="Q438" s="133"/>
      <c r="R438" s="133"/>
      <c r="S438" s="133"/>
      <c r="T438" s="133"/>
      <c r="U438" s="133"/>
      <c r="V438" s="133"/>
      <c r="W438" s="133"/>
      <c r="X438" s="133"/>
      <c r="Y438" s="133"/>
      <c r="Z438" s="133"/>
      <c r="AA438" s="133"/>
      <c r="AB438" s="133"/>
      <c r="AC438" s="133"/>
      <c r="AD438" s="133"/>
      <c r="AE438" s="133"/>
      <c r="AF438" s="133"/>
      <c r="AG438" s="133"/>
      <c r="AH438" s="133"/>
      <c r="AI438" s="133"/>
      <c r="AJ438" s="133"/>
      <c r="AK438" s="133"/>
      <c r="AL438" s="133"/>
      <c r="AM438" s="133"/>
      <c r="AN438" s="133"/>
      <c r="AO438" s="133"/>
      <c r="AP438" s="133"/>
      <c r="AQ438" s="133"/>
      <c r="AR438" s="133"/>
      <c r="AS438" s="133"/>
      <c r="AT438" s="133"/>
      <c r="AU438" s="133"/>
      <c r="AV438" s="132" t="s">
        <v>1154</v>
      </c>
      <c r="AW438" s="133"/>
      <c r="AX438" s="134">
        <f>'Stavební rozpočet'!F439</f>
        <v>67.1</v>
      </c>
      <c r="AY438" s="135"/>
      <c r="AZ438" s="135"/>
      <c r="BA438" s="135"/>
      <c r="BB438" s="135"/>
      <c r="BC438" s="134">
        <f>'Stavební rozpočet'!G439</f>
        <v>0</v>
      </c>
      <c r="BD438" s="135"/>
      <c r="BE438" s="135"/>
      <c r="BF438" s="135"/>
      <c r="BG438" s="135"/>
      <c r="BH438" s="135"/>
      <c r="BI438" s="135"/>
      <c r="BJ438" s="135"/>
      <c r="BK438" s="134">
        <f t="shared" si="28"/>
        <v>0</v>
      </c>
      <c r="BL438" s="135"/>
      <c r="BM438" s="135"/>
      <c r="BN438" s="135"/>
      <c r="BO438" s="135"/>
      <c r="BP438" s="135"/>
      <c r="BQ438" s="135"/>
      <c r="BR438" s="135"/>
      <c r="BS438" s="132" t="s">
        <v>1177</v>
      </c>
      <c r="BT438" s="133"/>
      <c r="BU438" s="133"/>
      <c r="BV438" s="133"/>
      <c r="BW438" s="133"/>
      <c r="BX438" s="133"/>
      <c r="IR438" s="46">
        <f>BC438*0</f>
        <v>0</v>
      </c>
      <c r="IS438" s="46">
        <f>BC438*(1-0)</f>
        <v>0</v>
      </c>
    </row>
    <row r="439" spans="1:253" ht="12.75">
      <c r="A439" s="143" t="s">
        <v>359</v>
      </c>
      <c r="B439" s="144"/>
      <c r="C439" s="143"/>
      <c r="D439" s="144"/>
      <c r="E439" s="144"/>
      <c r="F439" s="143" t="s">
        <v>719</v>
      </c>
      <c r="G439" s="144"/>
      <c r="H439" s="144"/>
      <c r="I439" s="144"/>
      <c r="J439" s="144"/>
      <c r="K439" s="144"/>
      <c r="L439" s="143" t="s">
        <v>1123</v>
      </c>
      <c r="M439" s="144"/>
      <c r="N439" s="144"/>
      <c r="O439" s="144"/>
      <c r="P439" s="144"/>
      <c r="Q439" s="144"/>
      <c r="R439" s="144"/>
      <c r="S439" s="144"/>
      <c r="T439" s="144"/>
      <c r="U439" s="144"/>
      <c r="V439" s="144"/>
      <c r="W439" s="144"/>
      <c r="X439" s="144"/>
      <c r="Y439" s="144"/>
      <c r="Z439" s="144"/>
      <c r="AA439" s="144"/>
      <c r="AB439" s="144"/>
      <c r="AC439" s="144"/>
      <c r="AD439" s="144"/>
      <c r="AE439" s="144"/>
      <c r="AF439" s="144"/>
      <c r="AG439" s="144"/>
      <c r="AH439" s="144"/>
      <c r="AI439" s="144"/>
      <c r="AJ439" s="144"/>
      <c r="AK439" s="144"/>
      <c r="AL439" s="144"/>
      <c r="AM439" s="144"/>
      <c r="AN439" s="144"/>
      <c r="AO439" s="144"/>
      <c r="AP439" s="144"/>
      <c r="AQ439" s="144"/>
      <c r="AR439" s="144"/>
      <c r="AS439" s="144"/>
      <c r="AT439" s="144"/>
      <c r="AU439" s="144"/>
      <c r="AV439" s="143" t="s">
        <v>1154</v>
      </c>
      <c r="AW439" s="144"/>
      <c r="AX439" s="145">
        <f>'Stavební rozpočet'!F440</f>
        <v>19.041</v>
      </c>
      <c r="AY439" s="146"/>
      <c r="AZ439" s="146"/>
      <c r="BA439" s="146"/>
      <c r="BB439" s="146"/>
      <c r="BC439" s="145">
        <f>'Stavební rozpočet'!G440</f>
        <v>0</v>
      </c>
      <c r="BD439" s="146"/>
      <c r="BE439" s="146"/>
      <c r="BF439" s="146"/>
      <c r="BG439" s="146"/>
      <c r="BH439" s="146"/>
      <c r="BI439" s="146"/>
      <c r="BJ439" s="146"/>
      <c r="BK439" s="145">
        <f t="shared" si="28"/>
        <v>0</v>
      </c>
      <c r="BL439" s="146"/>
      <c r="BM439" s="146"/>
      <c r="BN439" s="146"/>
      <c r="BO439" s="146"/>
      <c r="BP439" s="146"/>
      <c r="BQ439" s="146"/>
      <c r="BR439" s="146"/>
      <c r="BS439" s="143" t="s">
        <v>1177</v>
      </c>
      <c r="BT439" s="144"/>
      <c r="BU439" s="144"/>
      <c r="BV439" s="144"/>
      <c r="BW439" s="144"/>
      <c r="BX439" s="144"/>
      <c r="IR439" s="47">
        <f>BC439*1</f>
        <v>0</v>
      </c>
      <c r="IS439" s="47">
        <f>BC439*(1-1)</f>
        <v>0</v>
      </c>
    </row>
    <row r="440" spans="1:253" ht="12.75">
      <c r="A440" s="143" t="s">
        <v>360</v>
      </c>
      <c r="B440" s="144"/>
      <c r="C440" s="143"/>
      <c r="D440" s="144"/>
      <c r="E440" s="144"/>
      <c r="F440" s="143" t="s">
        <v>720</v>
      </c>
      <c r="G440" s="144"/>
      <c r="H440" s="144"/>
      <c r="I440" s="144"/>
      <c r="J440" s="144"/>
      <c r="K440" s="144"/>
      <c r="L440" s="143" t="s">
        <v>1124</v>
      </c>
      <c r="M440" s="144"/>
      <c r="N440" s="144"/>
      <c r="O440" s="144"/>
      <c r="P440" s="144"/>
      <c r="Q440" s="144"/>
      <c r="R440" s="144"/>
      <c r="S440" s="144"/>
      <c r="T440" s="144"/>
      <c r="U440" s="144"/>
      <c r="V440" s="144"/>
      <c r="W440" s="144"/>
      <c r="X440" s="144"/>
      <c r="Y440" s="144"/>
      <c r="Z440" s="144"/>
      <c r="AA440" s="144"/>
      <c r="AB440" s="144"/>
      <c r="AC440" s="144"/>
      <c r="AD440" s="144"/>
      <c r="AE440" s="144"/>
      <c r="AF440" s="144"/>
      <c r="AG440" s="144"/>
      <c r="AH440" s="144"/>
      <c r="AI440" s="144"/>
      <c r="AJ440" s="144"/>
      <c r="AK440" s="144"/>
      <c r="AL440" s="144"/>
      <c r="AM440" s="144"/>
      <c r="AN440" s="144"/>
      <c r="AO440" s="144"/>
      <c r="AP440" s="144"/>
      <c r="AQ440" s="144"/>
      <c r="AR440" s="144"/>
      <c r="AS440" s="144"/>
      <c r="AT440" s="144"/>
      <c r="AU440" s="144"/>
      <c r="AV440" s="143" t="s">
        <v>1154</v>
      </c>
      <c r="AW440" s="144"/>
      <c r="AX440" s="145">
        <f>'Stavební rozpočet'!F441</f>
        <v>28.369</v>
      </c>
      <c r="AY440" s="146"/>
      <c r="AZ440" s="146"/>
      <c r="BA440" s="146"/>
      <c r="BB440" s="146"/>
      <c r="BC440" s="145">
        <f>'Stavební rozpočet'!G441</f>
        <v>0</v>
      </c>
      <c r="BD440" s="146"/>
      <c r="BE440" s="146"/>
      <c r="BF440" s="146"/>
      <c r="BG440" s="146"/>
      <c r="BH440" s="146"/>
      <c r="BI440" s="146"/>
      <c r="BJ440" s="146"/>
      <c r="BK440" s="145">
        <f t="shared" si="28"/>
        <v>0</v>
      </c>
      <c r="BL440" s="146"/>
      <c r="BM440" s="146"/>
      <c r="BN440" s="146"/>
      <c r="BO440" s="146"/>
      <c r="BP440" s="146"/>
      <c r="BQ440" s="146"/>
      <c r="BR440" s="146"/>
      <c r="BS440" s="143" t="s">
        <v>1177</v>
      </c>
      <c r="BT440" s="144"/>
      <c r="BU440" s="144"/>
      <c r="BV440" s="144"/>
      <c r="BW440" s="144"/>
      <c r="BX440" s="144"/>
      <c r="IR440" s="47">
        <f>BC440*1</f>
        <v>0</v>
      </c>
      <c r="IS440" s="47">
        <f>BC440*(1-1)</f>
        <v>0</v>
      </c>
    </row>
    <row r="441" spans="1:253" ht="12.75">
      <c r="A441" s="143" t="s">
        <v>361</v>
      </c>
      <c r="B441" s="144"/>
      <c r="C441" s="143"/>
      <c r="D441" s="144"/>
      <c r="E441" s="144"/>
      <c r="F441" s="143" t="s">
        <v>721</v>
      </c>
      <c r="G441" s="144"/>
      <c r="H441" s="144"/>
      <c r="I441" s="144"/>
      <c r="J441" s="144"/>
      <c r="K441" s="144"/>
      <c r="L441" s="143" t="s">
        <v>1125</v>
      </c>
      <c r="M441" s="144"/>
      <c r="N441" s="144"/>
      <c r="O441" s="144"/>
      <c r="P441" s="144"/>
      <c r="Q441" s="144"/>
      <c r="R441" s="144"/>
      <c r="S441" s="144"/>
      <c r="T441" s="144"/>
      <c r="U441" s="144"/>
      <c r="V441" s="144"/>
      <c r="W441" s="144"/>
      <c r="X441" s="144"/>
      <c r="Y441" s="144"/>
      <c r="Z441" s="144"/>
      <c r="AA441" s="144"/>
      <c r="AB441" s="144"/>
      <c r="AC441" s="144"/>
      <c r="AD441" s="144"/>
      <c r="AE441" s="144"/>
      <c r="AF441" s="144"/>
      <c r="AG441" s="144"/>
      <c r="AH441" s="144"/>
      <c r="AI441" s="144"/>
      <c r="AJ441" s="144"/>
      <c r="AK441" s="144"/>
      <c r="AL441" s="144"/>
      <c r="AM441" s="144"/>
      <c r="AN441" s="144"/>
      <c r="AO441" s="144"/>
      <c r="AP441" s="144"/>
      <c r="AQ441" s="144"/>
      <c r="AR441" s="144"/>
      <c r="AS441" s="144"/>
      <c r="AT441" s="144"/>
      <c r="AU441" s="144"/>
      <c r="AV441" s="143" t="s">
        <v>1154</v>
      </c>
      <c r="AW441" s="144"/>
      <c r="AX441" s="145">
        <f>'Stavební rozpočet'!F442</f>
        <v>26.4</v>
      </c>
      <c r="AY441" s="146"/>
      <c r="AZ441" s="146"/>
      <c r="BA441" s="146"/>
      <c r="BB441" s="146"/>
      <c r="BC441" s="145">
        <f>'Stavební rozpočet'!G442</f>
        <v>0</v>
      </c>
      <c r="BD441" s="146"/>
      <c r="BE441" s="146"/>
      <c r="BF441" s="146"/>
      <c r="BG441" s="146"/>
      <c r="BH441" s="146"/>
      <c r="BI441" s="146"/>
      <c r="BJ441" s="146"/>
      <c r="BK441" s="145">
        <f t="shared" si="28"/>
        <v>0</v>
      </c>
      <c r="BL441" s="146"/>
      <c r="BM441" s="146"/>
      <c r="BN441" s="146"/>
      <c r="BO441" s="146"/>
      <c r="BP441" s="146"/>
      <c r="BQ441" s="146"/>
      <c r="BR441" s="146"/>
      <c r="BS441" s="143" t="s">
        <v>1177</v>
      </c>
      <c r="BT441" s="144"/>
      <c r="BU441" s="144"/>
      <c r="BV441" s="144"/>
      <c r="BW441" s="144"/>
      <c r="BX441" s="144"/>
      <c r="IR441" s="47">
        <f>BC441*1</f>
        <v>0</v>
      </c>
      <c r="IS441" s="47">
        <f>BC441*(1-1)</f>
        <v>0</v>
      </c>
    </row>
    <row r="442" spans="1:253" ht="12.75">
      <c r="A442" s="132" t="s">
        <v>362</v>
      </c>
      <c r="B442" s="133"/>
      <c r="C442" s="132"/>
      <c r="D442" s="133"/>
      <c r="E442" s="133"/>
      <c r="F442" s="132" t="s">
        <v>722</v>
      </c>
      <c r="G442" s="133"/>
      <c r="H442" s="133"/>
      <c r="I442" s="133"/>
      <c r="J442" s="133"/>
      <c r="K442" s="133"/>
      <c r="L442" s="132" t="s">
        <v>1126</v>
      </c>
      <c r="M442" s="133"/>
      <c r="N442" s="133"/>
      <c r="O442" s="133"/>
      <c r="P442" s="133"/>
      <c r="Q442" s="133"/>
      <c r="R442" s="133"/>
      <c r="S442" s="133"/>
      <c r="T442" s="133"/>
      <c r="U442" s="133"/>
      <c r="V442" s="133"/>
      <c r="W442" s="133"/>
      <c r="X442" s="133"/>
      <c r="Y442" s="133"/>
      <c r="Z442" s="133"/>
      <c r="AA442" s="133"/>
      <c r="AB442" s="133"/>
      <c r="AC442" s="133"/>
      <c r="AD442" s="133"/>
      <c r="AE442" s="133"/>
      <c r="AF442" s="133"/>
      <c r="AG442" s="133"/>
      <c r="AH442" s="133"/>
      <c r="AI442" s="133"/>
      <c r="AJ442" s="133"/>
      <c r="AK442" s="133"/>
      <c r="AL442" s="133"/>
      <c r="AM442" s="133"/>
      <c r="AN442" s="133"/>
      <c r="AO442" s="133"/>
      <c r="AP442" s="133"/>
      <c r="AQ442" s="133"/>
      <c r="AR442" s="133"/>
      <c r="AS442" s="133"/>
      <c r="AT442" s="133"/>
      <c r="AU442" s="133"/>
      <c r="AV442" s="132" t="s">
        <v>1151</v>
      </c>
      <c r="AW442" s="133"/>
      <c r="AX442" s="134">
        <f>'Stavební rozpočet'!F443</f>
        <v>46.65</v>
      </c>
      <c r="AY442" s="135"/>
      <c r="AZ442" s="135"/>
      <c r="BA442" s="135"/>
      <c r="BB442" s="135"/>
      <c r="BC442" s="134">
        <f>'Stavební rozpočet'!G443</f>
        <v>0</v>
      </c>
      <c r="BD442" s="135"/>
      <c r="BE442" s="135"/>
      <c r="BF442" s="135"/>
      <c r="BG442" s="135"/>
      <c r="BH442" s="135"/>
      <c r="BI442" s="135"/>
      <c r="BJ442" s="135"/>
      <c r="BK442" s="134">
        <f t="shared" si="28"/>
        <v>0</v>
      </c>
      <c r="BL442" s="135"/>
      <c r="BM442" s="135"/>
      <c r="BN442" s="135"/>
      <c r="BO442" s="135"/>
      <c r="BP442" s="135"/>
      <c r="BQ442" s="135"/>
      <c r="BR442" s="135"/>
      <c r="BS442" s="132" t="s">
        <v>1177</v>
      </c>
      <c r="BT442" s="133"/>
      <c r="BU442" s="133"/>
      <c r="BV442" s="133"/>
      <c r="BW442" s="133"/>
      <c r="BX442" s="133"/>
      <c r="IR442" s="46">
        <f>BC442*0</f>
        <v>0</v>
      </c>
      <c r="IS442" s="46">
        <f>BC442*(1-0)</f>
        <v>0</v>
      </c>
    </row>
    <row r="443" spans="1:253" ht="12.75">
      <c r="A443" s="143" t="s">
        <v>363</v>
      </c>
      <c r="B443" s="144"/>
      <c r="C443" s="143"/>
      <c r="D443" s="144"/>
      <c r="E443" s="144"/>
      <c r="F443" s="143" t="s">
        <v>723</v>
      </c>
      <c r="G443" s="144"/>
      <c r="H443" s="144"/>
      <c r="I443" s="144"/>
      <c r="J443" s="144"/>
      <c r="K443" s="144"/>
      <c r="L443" s="143" t="s">
        <v>1127</v>
      </c>
      <c r="M443" s="144"/>
      <c r="N443" s="144"/>
      <c r="O443" s="144"/>
      <c r="P443" s="144"/>
      <c r="Q443" s="144"/>
      <c r="R443" s="144"/>
      <c r="S443" s="144"/>
      <c r="T443" s="144"/>
      <c r="U443" s="144"/>
      <c r="V443" s="144"/>
      <c r="W443" s="144"/>
      <c r="X443" s="144"/>
      <c r="Y443" s="144"/>
      <c r="Z443" s="144"/>
      <c r="AA443" s="144"/>
      <c r="AB443" s="144"/>
      <c r="AC443" s="144"/>
      <c r="AD443" s="144"/>
      <c r="AE443" s="144"/>
      <c r="AF443" s="144"/>
      <c r="AG443" s="144"/>
      <c r="AH443" s="144"/>
      <c r="AI443" s="144"/>
      <c r="AJ443" s="144"/>
      <c r="AK443" s="144"/>
      <c r="AL443" s="144"/>
      <c r="AM443" s="144"/>
      <c r="AN443" s="144"/>
      <c r="AO443" s="144"/>
      <c r="AP443" s="144"/>
      <c r="AQ443" s="144"/>
      <c r="AR443" s="144"/>
      <c r="AS443" s="144"/>
      <c r="AT443" s="144"/>
      <c r="AU443" s="144"/>
      <c r="AV443" s="143" t="s">
        <v>1151</v>
      </c>
      <c r="AW443" s="144"/>
      <c r="AX443" s="145">
        <f>'Stavební rozpočet'!F444</f>
        <v>48.9825</v>
      </c>
      <c r="AY443" s="146"/>
      <c r="AZ443" s="146"/>
      <c r="BA443" s="146"/>
      <c r="BB443" s="146"/>
      <c r="BC443" s="145">
        <f>'Stavební rozpočet'!G444</f>
        <v>0</v>
      </c>
      <c r="BD443" s="146"/>
      <c r="BE443" s="146"/>
      <c r="BF443" s="146"/>
      <c r="BG443" s="146"/>
      <c r="BH443" s="146"/>
      <c r="BI443" s="146"/>
      <c r="BJ443" s="146"/>
      <c r="BK443" s="145">
        <f t="shared" si="28"/>
        <v>0</v>
      </c>
      <c r="BL443" s="146"/>
      <c r="BM443" s="146"/>
      <c r="BN443" s="146"/>
      <c r="BO443" s="146"/>
      <c r="BP443" s="146"/>
      <c r="BQ443" s="146"/>
      <c r="BR443" s="146"/>
      <c r="BS443" s="143" t="s">
        <v>1177</v>
      </c>
      <c r="BT443" s="144"/>
      <c r="BU443" s="144"/>
      <c r="BV443" s="144"/>
      <c r="BW443" s="144"/>
      <c r="BX443" s="144"/>
      <c r="IR443" s="47">
        <f>BC443*1</f>
        <v>0</v>
      </c>
      <c r="IS443" s="47">
        <f>BC443*(1-1)</f>
        <v>0</v>
      </c>
    </row>
    <row r="444" spans="1:253" ht="12.75">
      <c r="A444" s="132" t="s">
        <v>364</v>
      </c>
      <c r="B444" s="133"/>
      <c r="C444" s="132"/>
      <c r="D444" s="133"/>
      <c r="E444" s="133"/>
      <c r="F444" s="132" t="s">
        <v>724</v>
      </c>
      <c r="G444" s="133"/>
      <c r="H444" s="133"/>
      <c r="I444" s="133"/>
      <c r="J444" s="133"/>
      <c r="K444" s="133"/>
      <c r="L444" s="132" t="s">
        <v>1128</v>
      </c>
      <c r="M444" s="133"/>
      <c r="N444" s="133"/>
      <c r="O444" s="133"/>
      <c r="P444" s="133"/>
      <c r="Q444" s="133"/>
      <c r="R444" s="133"/>
      <c r="S444" s="133"/>
      <c r="T444" s="133"/>
      <c r="U444" s="133"/>
      <c r="V444" s="133"/>
      <c r="W444" s="133"/>
      <c r="X444" s="133"/>
      <c r="Y444" s="133"/>
      <c r="Z444" s="133"/>
      <c r="AA444" s="133"/>
      <c r="AB444" s="133"/>
      <c r="AC444" s="133"/>
      <c r="AD444" s="133"/>
      <c r="AE444" s="133"/>
      <c r="AF444" s="133"/>
      <c r="AG444" s="133"/>
      <c r="AH444" s="133"/>
      <c r="AI444" s="133"/>
      <c r="AJ444" s="133"/>
      <c r="AK444" s="133"/>
      <c r="AL444" s="133"/>
      <c r="AM444" s="133"/>
      <c r="AN444" s="133"/>
      <c r="AO444" s="133"/>
      <c r="AP444" s="133"/>
      <c r="AQ444" s="133"/>
      <c r="AR444" s="133"/>
      <c r="AS444" s="133"/>
      <c r="AT444" s="133"/>
      <c r="AU444" s="133"/>
      <c r="AV444" s="132" t="s">
        <v>1151</v>
      </c>
      <c r="AW444" s="133"/>
      <c r="AX444" s="134">
        <f>'Stavební rozpočet'!F445</f>
        <v>48.691</v>
      </c>
      <c r="AY444" s="135"/>
      <c r="AZ444" s="135"/>
      <c r="BA444" s="135"/>
      <c r="BB444" s="135"/>
      <c r="BC444" s="134">
        <f>'Stavební rozpočet'!G445</f>
        <v>0</v>
      </c>
      <c r="BD444" s="135"/>
      <c r="BE444" s="135"/>
      <c r="BF444" s="135"/>
      <c r="BG444" s="135"/>
      <c r="BH444" s="135"/>
      <c r="BI444" s="135"/>
      <c r="BJ444" s="135"/>
      <c r="BK444" s="134">
        <f t="shared" si="28"/>
        <v>0</v>
      </c>
      <c r="BL444" s="135"/>
      <c r="BM444" s="135"/>
      <c r="BN444" s="135"/>
      <c r="BO444" s="135"/>
      <c r="BP444" s="135"/>
      <c r="BQ444" s="135"/>
      <c r="BR444" s="135"/>
      <c r="BS444" s="132" t="s">
        <v>1177</v>
      </c>
      <c r="BT444" s="133"/>
      <c r="BU444" s="133"/>
      <c r="BV444" s="133"/>
      <c r="BW444" s="133"/>
      <c r="BX444" s="133"/>
      <c r="IR444" s="46">
        <f>BC444*1</f>
        <v>0</v>
      </c>
      <c r="IS444" s="46">
        <f>BC444*(1-1)</f>
        <v>0</v>
      </c>
    </row>
    <row r="445" spans="1:253" ht="12.75">
      <c r="A445" s="132" t="s">
        <v>365</v>
      </c>
      <c r="B445" s="133"/>
      <c r="C445" s="132"/>
      <c r="D445" s="133"/>
      <c r="E445" s="133"/>
      <c r="F445" s="132" t="s">
        <v>725</v>
      </c>
      <c r="G445" s="133"/>
      <c r="H445" s="133"/>
      <c r="I445" s="133"/>
      <c r="J445" s="133"/>
      <c r="K445" s="133"/>
      <c r="L445" s="132" t="s">
        <v>1129</v>
      </c>
      <c r="M445" s="133"/>
      <c r="N445" s="133"/>
      <c r="O445" s="133"/>
      <c r="P445" s="133"/>
      <c r="Q445" s="133"/>
      <c r="R445" s="133"/>
      <c r="S445" s="133"/>
      <c r="T445" s="133"/>
      <c r="U445" s="133"/>
      <c r="V445" s="133"/>
      <c r="W445" s="133"/>
      <c r="X445" s="133"/>
      <c r="Y445" s="133"/>
      <c r="Z445" s="133"/>
      <c r="AA445" s="133"/>
      <c r="AB445" s="133"/>
      <c r="AC445" s="133"/>
      <c r="AD445" s="133"/>
      <c r="AE445" s="133"/>
      <c r="AF445" s="133"/>
      <c r="AG445" s="133"/>
      <c r="AH445" s="133"/>
      <c r="AI445" s="133"/>
      <c r="AJ445" s="133"/>
      <c r="AK445" s="133"/>
      <c r="AL445" s="133"/>
      <c r="AM445" s="133"/>
      <c r="AN445" s="133"/>
      <c r="AO445" s="133"/>
      <c r="AP445" s="133"/>
      <c r="AQ445" s="133"/>
      <c r="AR445" s="133"/>
      <c r="AS445" s="133"/>
      <c r="AT445" s="133"/>
      <c r="AU445" s="133"/>
      <c r="AV445" s="132" t="s">
        <v>1154</v>
      </c>
      <c r="AW445" s="133"/>
      <c r="AX445" s="134">
        <f>'Stavební rozpočet'!F446</f>
        <v>15.19</v>
      </c>
      <c r="AY445" s="135"/>
      <c r="AZ445" s="135"/>
      <c r="BA445" s="135"/>
      <c r="BB445" s="135"/>
      <c r="BC445" s="134">
        <f>'Stavební rozpočet'!G446</f>
        <v>0</v>
      </c>
      <c r="BD445" s="135"/>
      <c r="BE445" s="135"/>
      <c r="BF445" s="135"/>
      <c r="BG445" s="135"/>
      <c r="BH445" s="135"/>
      <c r="BI445" s="135"/>
      <c r="BJ445" s="135"/>
      <c r="BK445" s="134">
        <f t="shared" si="28"/>
        <v>0</v>
      </c>
      <c r="BL445" s="135"/>
      <c r="BM445" s="135"/>
      <c r="BN445" s="135"/>
      <c r="BO445" s="135"/>
      <c r="BP445" s="135"/>
      <c r="BQ445" s="135"/>
      <c r="BR445" s="135"/>
      <c r="BS445" s="132" t="s">
        <v>1177</v>
      </c>
      <c r="BT445" s="133"/>
      <c r="BU445" s="133"/>
      <c r="BV445" s="133"/>
      <c r="BW445" s="133"/>
      <c r="BX445" s="133"/>
      <c r="IR445" s="46">
        <f>BC445*0.0476763509254484</f>
        <v>0</v>
      </c>
      <c r="IS445" s="46">
        <f>BC445*(1-0.0476763509254484)</f>
        <v>0</v>
      </c>
    </row>
    <row r="446" spans="1:76" ht="12.75">
      <c r="A446" s="132"/>
      <c r="B446" s="133"/>
      <c r="C446" s="133"/>
      <c r="D446" s="133"/>
      <c r="E446" s="133"/>
      <c r="F446" s="133"/>
      <c r="G446" s="133"/>
      <c r="H446" s="133"/>
      <c r="I446" s="133"/>
      <c r="J446" s="133"/>
      <c r="K446" s="133"/>
      <c r="L446" s="141" t="s">
        <v>1130</v>
      </c>
      <c r="M446" s="142"/>
      <c r="N446" s="142"/>
      <c r="O446" s="142"/>
      <c r="P446" s="142"/>
      <c r="Q446" s="142"/>
      <c r="R446" s="142"/>
      <c r="S446" s="142"/>
      <c r="T446" s="142"/>
      <c r="U446" s="142"/>
      <c r="V446" s="142"/>
      <c r="W446" s="142"/>
      <c r="X446" s="142"/>
      <c r="Y446" s="142"/>
      <c r="Z446" s="142"/>
      <c r="AA446" s="142"/>
      <c r="AB446" s="142"/>
      <c r="AC446" s="142"/>
      <c r="AD446" s="142"/>
      <c r="AE446" s="142"/>
      <c r="AF446" s="142"/>
      <c r="AG446" s="142"/>
      <c r="AH446" s="142"/>
      <c r="AI446" s="142"/>
      <c r="AJ446" s="142"/>
      <c r="AK446" s="142"/>
      <c r="AL446" s="142"/>
      <c r="AM446" s="142"/>
      <c r="AN446" s="142"/>
      <c r="AO446" s="142"/>
      <c r="AP446" s="142"/>
      <c r="AQ446" s="142"/>
      <c r="AR446" s="142"/>
      <c r="AS446" s="142"/>
      <c r="AT446" s="142"/>
      <c r="AU446" s="142"/>
      <c r="AV446" s="132"/>
      <c r="AW446" s="133"/>
      <c r="AX446" s="133"/>
      <c r="AY446" s="133"/>
      <c r="AZ446" s="133"/>
      <c r="BA446" s="133"/>
      <c r="BB446" s="133"/>
      <c r="BC446" s="133"/>
      <c r="BD446" s="133"/>
      <c r="BE446" s="133"/>
      <c r="BF446" s="133"/>
      <c r="BG446" s="133"/>
      <c r="BH446" s="133"/>
      <c r="BI446" s="133"/>
      <c r="BJ446" s="133"/>
      <c r="BK446" s="133"/>
      <c r="BL446" s="133"/>
      <c r="BM446" s="133"/>
      <c r="BN446" s="133"/>
      <c r="BO446" s="133"/>
      <c r="BP446" s="133"/>
      <c r="BQ446" s="133"/>
      <c r="BR446" s="133"/>
      <c r="BS446" s="133"/>
      <c r="BT446" s="133"/>
      <c r="BU446" s="133"/>
      <c r="BV446" s="133"/>
      <c r="BW446" s="133"/>
      <c r="BX446" s="133"/>
    </row>
    <row r="447" spans="1:253" ht="12.75">
      <c r="A447" s="143" t="s">
        <v>366</v>
      </c>
      <c r="B447" s="144"/>
      <c r="C447" s="143"/>
      <c r="D447" s="144"/>
      <c r="E447" s="144"/>
      <c r="F447" s="143" t="s">
        <v>723</v>
      </c>
      <c r="G447" s="144"/>
      <c r="H447" s="144"/>
      <c r="I447" s="144"/>
      <c r="J447" s="144"/>
      <c r="K447" s="144"/>
      <c r="L447" s="143" t="s">
        <v>1127</v>
      </c>
      <c r="M447" s="144"/>
      <c r="N447" s="144"/>
      <c r="O447" s="144"/>
      <c r="P447" s="144"/>
      <c r="Q447" s="144"/>
      <c r="R447" s="144"/>
      <c r="S447" s="144"/>
      <c r="T447" s="144"/>
      <c r="U447" s="144"/>
      <c r="V447" s="144"/>
      <c r="W447" s="144"/>
      <c r="X447" s="144"/>
      <c r="Y447" s="144"/>
      <c r="Z447" s="144"/>
      <c r="AA447" s="144"/>
      <c r="AB447" s="144"/>
      <c r="AC447" s="144"/>
      <c r="AD447" s="144"/>
      <c r="AE447" s="144"/>
      <c r="AF447" s="144"/>
      <c r="AG447" s="144"/>
      <c r="AH447" s="144"/>
      <c r="AI447" s="144"/>
      <c r="AJ447" s="144"/>
      <c r="AK447" s="144"/>
      <c r="AL447" s="144"/>
      <c r="AM447" s="144"/>
      <c r="AN447" s="144"/>
      <c r="AO447" s="144"/>
      <c r="AP447" s="144"/>
      <c r="AQ447" s="144"/>
      <c r="AR447" s="144"/>
      <c r="AS447" s="144"/>
      <c r="AT447" s="144"/>
      <c r="AU447" s="144"/>
      <c r="AV447" s="143" t="s">
        <v>1151</v>
      </c>
      <c r="AW447" s="144"/>
      <c r="AX447" s="145">
        <f>'Stavební rozpočet'!F448</f>
        <v>2.34715</v>
      </c>
      <c r="AY447" s="146"/>
      <c r="AZ447" s="146"/>
      <c r="BA447" s="146"/>
      <c r="BB447" s="146"/>
      <c r="BC447" s="145">
        <f>'Stavební rozpočet'!G448</f>
        <v>0</v>
      </c>
      <c r="BD447" s="146"/>
      <c r="BE447" s="146"/>
      <c r="BF447" s="146"/>
      <c r="BG447" s="146"/>
      <c r="BH447" s="146"/>
      <c r="BI447" s="146"/>
      <c r="BJ447" s="146"/>
      <c r="BK447" s="145">
        <f>IR447*AX447+IS447*AX447</f>
        <v>0</v>
      </c>
      <c r="BL447" s="146"/>
      <c r="BM447" s="146"/>
      <c r="BN447" s="146"/>
      <c r="BO447" s="146"/>
      <c r="BP447" s="146"/>
      <c r="BQ447" s="146"/>
      <c r="BR447" s="146"/>
      <c r="BS447" s="143" t="s">
        <v>1177</v>
      </c>
      <c r="BT447" s="144"/>
      <c r="BU447" s="144"/>
      <c r="BV447" s="144"/>
      <c r="BW447" s="144"/>
      <c r="BX447" s="144"/>
      <c r="IR447" s="47">
        <f>BC447*1</f>
        <v>0</v>
      </c>
      <c r="IS447" s="47">
        <f>BC447*(1-1)</f>
        <v>0</v>
      </c>
    </row>
    <row r="448" spans="1:253" ht="12.75">
      <c r="A448" s="132" t="s">
        <v>367</v>
      </c>
      <c r="B448" s="133"/>
      <c r="C448" s="132"/>
      <c r="D448" s="133"/>
      <c r="E448" s="133"/>
      <c r="F448" s="132" t="s">
        <v>726</v>
      </c>
      <c r="G448" s="133"/>
      <c r="H448" s="133"/>
      <c r="I448" s="133"/>
      <c r="J448" s="133"/>
      <c r="K448" s="133"/>
      <c r="L448" s="132" t="s">
        <v>1131</v>
      </c>
      <c r="M448" s="133"/>
      <c r="N448" s="133"/>
      <c r="O448" s="133"/>
      <c r="P448" s="133"/>
      <c r="Q448" s="133"/>
      <c r="R448" s="133"/>
      <c r="S448" s="133"/>
      <c r="T448" s="133"/>
      <c r="U448" s="133"/>
      <c r="V448" s="133"/>
      <c r="W448" s="133"/>
      <c r="X448" s="133"/>
      <c r="Y448" s="133"/>
      <c r="Z448" s="133"/>
      <c r="AA448" s="133"/>
      <c r="AB448" s="133"/>
      <c r="AC448" s="133"/>
      <c r="AD448" s="133"/>
      <c r="AE448" s="133"/>
      <c r="AF448" s="133"/>
      <c r="AG448" s="133"/>
      <c r="AH448" s="133"/>
      <c r="AI448" s="133"/>
      <c r="AJ448" s="133"/>
      <c r="AK448" s="133"/>
      <c r="AL448" s="133"/>
      <c r="AM448" s="133"/>
      <c r="AN448" s="133"/>
      <c r="AO448" s="133"/>
      <c r="AP448" s="133"/>
      <c r="AQ448" s="133"/>
      <c r="AR448" s="133"/>
      <c r="AS448" s="133"/>
      <c r="AT448" s="133"/>
      <c r="AU448" s="133"/>
      <c r="AV448" s="132" t="s">
        <v>1152</v>
      </c>
      <c r="AW448" s="133"/>
      <c r="AX448" s="134">
        <f>'Stavební rozpočet'!F449</f>
        <v>0.6568</v>
      </c>
      <c r="AY448" s="135"/>
      <c r="AZ448" s="135"/>
      <c r="BA448" s="135"/>
      <c r="BB448" s="135"/>
      <c r="BC448" s="134">
        <f>'Stavební rozpočet'!G449</f>
        <v>0</v>
      </c>
      <c r="BD448" s="135"/>
      <c r="BE448" s="135"/>
      <c r="BF448" s="135"/>
      <c r="BG448" s="135"/>
      <c r="BH448" s="135"/>
      <c r="BI448" s="135"/>
      <c r="BJ448" s="135"/>
      <c r="BK448" s="134">
        <f>IR448*AX448+IS448*AX448</f>
        <v>0</v>
      </c>
      <c r="BL448" s="135"/>
      <c r="BM448" s="135"/>
      <c r="BN448" s="135"/>
      <c r="BO448" s="135"/>
      <c r="BP448" s="135"/>
      <c r="BQ448" s="135"/>
      <c r="BR448" s="135"/>
      <c r="BS448" s="132" t="s">
        <v>1177</v>
      </c>
      <c r="BT448" s="133"/>
      <c r="BU448" s="133"/>
      <c r="BV448" s="133"/>
      <c r="BW448" s="133"/>
      <c r="BX448" s="133"/>
      <c r="IR448" s="46">
        <f>BC448*0</f>
        <v>0</v>
      </c>
      <c r="IS448" s="46">
        <f>BC448*(1-0)</f>
        <v>0</v>
      </c>
    </row>
    <row r="449" spans="1:76" ht="12.75">
      <c r="A449" s="136" t="s">
        <v>6</v>
      </c>
      <c r="B449" s="137"/>
      <c r="C449" s="136" t="s">
        <v>6</v>
      </c>
      <c r="D449" s="137"/>
      <c r="E449" s="137"/>
      <c r="F449" s="136" t="s">
        <v>727</v>
      </c>
      <c r="G449" s="137"/>
      <c r="H449" s="137"/>
      <c r="I449" s="137"/>
      <c r="J449" s="137"/>
      <c r="K449" s="137"/>
      <c r="L449" s="136" t="s">
        <v>1132</v>
      </c>
      <c r="M449" s="137"/>
      <c r="N449" s="137"/>
      <c r="O449" s="137"/>
      <c r="P449" s="137"/>
      <c r="Q449" s="137"/>
      <c r="R449" s="137"/>
      <c r="S449" s="137"/>
      <c r="T449" s="137"/>
      <c r="U449" s="137"/>
      <c r="V449" s="137"/>
      <c r="W449" s="137"/>
      <c r="X449" s="137"/>
      <c r="Y449" s="137"/>
      <c r="Z449" s="137"/>
      <c r="AA449" s="137"/>
      <c r="AB449" s="137"/>
      <c r="AC449" s="137"/>
      <c r="AD449" s="137"/>
      <c r="AE449" s="137"/>
      <c r="AF449" s="137"/>
      <c r="AG449" s="137"/>
      <c r="AH449" s="137"/>
      <c r="AI449" s="137"/>
      <c r="AJ449" s="137"/>
      <c r="AK449" s="137"/>
      <c r="AL449" s="137"/>
      <c r="AM449" s="137"/>
      <c r="AN449" s="137"/>
      <c r="AO449" s="137"/>
      <c r="AP449" s="137"/>
      <c r="AQ449" s="137"/>
      <c r="AR449" s="137"/>
      <c r="AS449" s="137"/>
      <c r="AT449" s="137"/>
      <c r="AU449" s="137"/>
      <c r="AV449" s="136" t="s">
        <v>6</v>
      </c>
      <c r="AW449" s="137"/>
      <c r="AX449" s="138" t="s">
        <v>6</v>
      </c>
      <c r="AY449" s="139"/>
      <c r="AZ449" s="139"/>
      <c r="BA449" s="139"/>
      <c r="BB449" s="139"/>
      <c r="BC449" s="138" t="s">
        <v>6</v>
      </c>
      <c r="BD449" s="139"/>
      <c r="BE449" s="139"/>
      <c r="BF449" s="139"/>
      <c r="BG449" s="139"/>
      <c r="BH449" s="139"/>
      <c r="BI449" s="139"/>
      <c r="BJ449" s="139"/>
      <c r="BK449" s="140">
        <f>SUM(BK450:BK451)</f>
        <v>0</v>
      </c>
      <c r="BL449" s="139"/>
      <c r="BM449" s="139"/>
      <c r="BN449" s="139"/>
      <c r="BO449" s="139"/>
      <c r="BP449" s="139"/>
      <c r="BQ449" s="139"/>
      <c r="BR449" s="139"/>
      <c r="BS449" s="136" t="s">
        <v>6</v>
      </c>
      <c r="BT449" s="137"/>
      <c r="BU449" s="137"/>
      <c r="BV449" s="137"/>
      <c r="BW449" s="137"/>
      <c r="BX449" s="137"/>
    </row>
    <row r="450" spans="1:253" ht="12.75">
      <c r="A450" s="132" t="s">
        <v>368</v>
      </c>
      <c r="B450" s="133"/>
      <c r="C450" s="132"/>
      <c r="D450" s="133"/>
      <c r="E450" s="133"/>
      <c r="F450" s="132" t="s">
        <v>728</v>
      </c>
      <c r="G450" s="133"/>
      <c r="H450" s="133"/>
      <c r="I450" s="133"/>
      <c r="J450" s="133"/>
      <c r="K450" s="133"/>
      <c r="L450" s="132" t="s">
        <v>1133</v>
      </c>
      <c r="M450" s="133"/>
      <c r="N450" s="133"/>
      <c r="O450" s="133"/>
      <c r="P450" s="133"/>
      <c r="Q450" s="133"/>
      <c r="R450" s="133"/>
      <c r="S450" s="133"/>
      <c r="T450" s="133"/>
      <c r="U450" s="133"/>
      <c r="V450" s="133"/>
      <c r="W450" s="133"/>
      <c r="X450" s="133"/>
      <c r="Y450" s="133"/>
      <c r="Z450" s="133"/>
      <c r="AA450" s="133"/>
      <c r="AB450" s="133"/>
      <c r="AC450" s="133"/>
      <c r="AD450" s="133"/>
      <c r="AE450" s="133"/>
      <c r="AF450" s="133"/>
      <c r="AG450" s="133"/>
      <c r="AH450" s="133"/>
      <c r="AI450" s="133"/>
      <c r="AJ450" s="133"/>
      <c r="AK450" s="133"/>
      <c r="AL450" s="133"/>
      <c r="AM450" s="133"/>
      <c r="AN450" s="133"/>
      <c r="AO450" s="133"/>
      <c r="AP450" s="133"/>
      <c r="AQ450" s="133"/>
      <c r="AR450" s="133"/>
      <c r="AS450" s="133"/>
      <c r="AT450" s="133"/>
      <c r="AU450" s="133"/>
      <c r="AV450" s="132" t="s">
        <v>1151</v>
      </c>
      <c r="AW450" s="133"/>
      <c r="AX450" s="134">
        <f>'Stavební rozpočet'!F451</f>
        <v>357.256</v>
      </c>
      <c r="AY450" s="135"/>
      <c r="AZ450" s="135"/>
      <c r="BA450" s="135"/>
      <c r="BB450" s="135"/>
      <c r="BC450" s="134">
        <f>'Stavební rozpočet'!G451</f>
        <v>0</v>
      </c>
      <c r="BD450" s="135"/>
      <c r="BE450" s="135"/>
      <c r="BF450" s="135"/>
      <c r="BG450" s="135"/>
      <c r="BH450" s="135"/>
      <c r="BI450" s="135"/>
      <c r="BJ450" s="135"/>
      <c r="BK450" s="134">
        <f>IR450*AX450+IS450*AX450</f>
        <v>0</v>
      </c>
      <c r="BL450" s="135"/>
      <c r="BM450" s="135"/>
      <c r="BN450" s="135"/>
      <c r="BO450" s="135"/>
      <c r="BP450" s="135"/>
      <c r="BQ450" s="135"/>
      <c r="BR450" s="135"/>
      <c r="BS450" s="132" t="s">
        <v>1177</v>
      </c>
      <c r="BT450" s="133"/>
      <c r="BU450" s="133"/>
      <c r="BV450" s="133"/>
      <c r="BW450" s="133"/>
      <c r="BX450" s="133"/>
      <c r="IR450" s="46">
        <f>BC450*0.591782945736434</f>
        <v>0</v>
      </c>
      <c r="IS450" s="46">
        <f>BC450*(1-0.591782945736434)</f>
        <v>0</v>
      </c>
    </row>
    <row r="451" spans="1:253" ht="12.75">
      <c r="A451" s="132" t="s">
        <v>369</v>
      </c>
      <c r="B451" s="133"/>
      <c r="C451" s="132"/>
      <c r="D451" s="133"/>
      <c r="E451" s="133"/>
      <c r="F451" s="132" t="s">
        <v>729</v>
      </c>
      <c r="G451" s="133"/>
      <c r="H451" s="133"/>
      <c r="I451" s="133"/>
      <c r="J451" s="133"/>
      <c r="K451" s="133"/>
      <c r="L451" s="132" t="s">
        <v>1134</v>
      </c>
      <c r="M451" s="133"/>
      <c r="N451" s="133"/>
      <c r="O451" s="133"/>
      <c r="P451" s="133"/>
      <c r="Q451" s="133"/>
      <c r="R451" s="133"/>
      <c r="S451" s="133"/>
      <c r="T451" s="133"/>
      <c r="U451" s="133"/>
      <c r="V451" s="133"/>
      <c r="W451" s="133"/>
      <c r="X451" s="133"/>
      <c r="Y451" s="133"/>
      <c r="Z451" s="133"/>
      <c r="AA451" s="133"/>
      <c r="AB451" s="133"/>
      <c r="AC451" s="133"/>
      <c r="AD451" s="133"/>
      <c r="AE451" s="133"/>
      <c r="AF451" s="133"/>
      <c r="AG451" s="133"/>
      <c r="AH451" s="133"/>
      <c r="AI451" s="133"/>
      <c r="AJ451" s="133"/>
      <c r="AK451" s="133"/>
      <c r="AL451" s="133"/>
      <c r="AM451" s="133"/>
      <c r="AN451" s="133"/>
      <c r="AO451" s="133"/>
      <c r="AP451" s="133"/>
      <c r="AQ451" s="133"/>
      <c r="AR451" s="133"/>
      <c r="AS451" s="133"/>
      <c r="AT451" s="133"/>
      <c r="AU451" s="133"/>
      <c r="AV451" s="132" t="s">
        <v>1151</v>
      </c>
      <c r="AW451" s="133"/>
      <c r="AX451" s="134">
        <f>'Stavební rozpočet'!F452</f>
        <v>599.972</v>
      </c>
      <c r="AY451" s="135"/>
      <c r="AZ451" s="135"/>
      <c r="BA451" s="135"/>
      <c r="BB451" s="135"/>
      <c r="BC451" s="134">
        <f>'Stavební rozpočet'!G452</f>
        <v>0</v>
      </c>
      <c r="BD451" s="135"/>
      <c r="BE451" s="135"/>
      <c r="BF451" s="135"/>
      <c r="BG451" s="135"/>
      <c r="BH451" s="135"/>
      <c r="BI451" s="135"/>
      <c r="BJ451" s="135"/>
      <c r="BK451" s="134">
        <f>IR451*AX451+IS451*AX451</f>
        <v>0</v>
      </c>
      <c r="BL451" s="135"/>
      <c r="BM451" s="135"/>
      <c r="BN451" s="135"/>
      <c r="BO451" s="135"/>
      <c r="BP451" s="135"/>
      <c r="BQ451" s="135"/>
      <c r="BR451" s="135"/>
      <c r="BS451" s="132" t="s">
        <v>1177</v>
      </c>
      <c r="BT451" s="133"/>
      <c r="BU451" s="133"/>
      <c r="BV451" s="133"/>
      <c r="BW451" s="133"/>
      <c r="BX451" s="133"/>
      <c r="IR451" s="46">
        <f>BC451*0.142909090909091</f>
        <v>0</v>
      </c>
      <c r="IS451" s="46">
        <f>BC451*(1-0.142909090909091)</f>
        <v>0</v>
      </c>
    </row>
    <row r="452" spans="1:76" ht="12.75">
      <c r="A452" s="136" t="s">
        <v>6</v>
      </c>
      <c r="B452" s="137"/>
      <c r="C452" s="136" t="s">
        <v>6</v>
      </c>
      <c r="D452" s="137"/>
      <c r="E452" s="137"/>
      <c r="F452" s="136" t="s">
        <v>730</v>
      </c>
      <c r="G452" s="137"/>
      <c r="H452" s="137"/>
      <c r="I452" s="137"/>
      <c r="J452" s="137"/>
      <c r="K452" s="137"/>
      <c r="L452" s="136" t="s">
        <v>1135</v>
      </c>
      <c r="M452" s="137"/>
      <c r="N452" s="137"/>
      <c r="O452" s="137"/>
      <c r="P452" s="137"/>
      <c r="Q452" s="137"/>
      <c r="R452" s="137"/>
      <c r="S452" s="137"/>
      <c r="T452" s="137"/>
      <c r="U452" s="137"/>
      <c r="V452" s="137"/>
      <c r="W452" s="137"/>
      <c r="X452" s="137"/>
      <c r="Y452" s="137"/>
      <c r="Z452" s="137"/>
      <c r="AA452" s="137"/>
      <c r="AB452" s="137"/>
      <c r="AC452" s="137"/>
      <c r="AD452" s="137"/>
      <c r="AE452" s="137"/>
      <c r="AF452" s="137"/>
      <c r="AG452" s="137"/>
      <c r="AH452" s="137"/>
      <c r="AI452" s="137"/>
      <c r="AJ452" s="137"/>
      <c r="AK452" s="137"/>
      <c r="AL452" s="137"/>
      <c r="AM452" s="137"/>
      <c r="AN452" s="137"/>
      <c r="AO452" s="137"/>
      <c r="AP452" s="137"/>
      <c r="AQ452" s="137"/>
      <c r="AR452" s="137"/>
      <c r="AS452" s="137"/>
      <c r="AT452" s="137"/>
      <c r="AU452" s="137"/>
      <c r="AV452" s="136" t="s">
        <v>6</v>
      </c>
      <c r="AW452" s="137"/>
      <c r="AX452" s="138" t="s">
        <v>6</v>
      </c>
      <c r="AY452" s="139"/>
      <c r="AZ452" s="139"/>
      <c r="BA452" s="139"/>
      <c r="BB452" s="139"/>
      <c r="BC452" s="138" t="s">
        <v>6</v>
      </c>
      <c r="BD452" s="139"/>
      <c r="BE452" s="139"/>
      <c r="BF452" s="139"/>
      <c r="BG452" s="139"/>
      <c r="BH452" s="139"/>
      <c r="BI452" s="139"/>
      <c r="BJ452" s="139"/>
      <c r="BK452" s="140">
        <f>SUM(BK453:BK457)</f>
        <v>0</v>
      </c>
      <c r="BL452" s="139"/>
      <c r="BM452" s="139"/>
      <c r="BN452" s="139"/>
      <c r="BO452" s="139"/>
      <c r="BP452" s="139"/>
      <c r="BQ452" s="139"/>
      <c r="BR452" s="139"/>
      <c r="BS452" s="136" t="s">
        <v>6</v>
      </c>
      <c r="BT452" s="137"/>
      <c r="BU452" s="137"/>
      <c r="BV452" s="137"/>
      <c r="BW452" s="137"/>
      <c r="BX452" s="137"/>
    </row>
    <row r="453" spans="1:253" ht="12.75">
      <c r="A453" s="132" t="s">
        <v>370</v>
      </c>
      <c r="B453" s="133"/>
      <c r="C453" s="132"/>
      <c r="D453" s="133"/>
      <c r="E453" s="133"/>
      <c r="F453" s="132" t="s">
        <v>731</v>
      </c>
      <c r="G453" s="133"/>
      <c r="H453" s="133"/>
      <c r="I453" s="133"/>
      <c r="J453" s="133"/>
      <c r="K453" s="133"/>
      <c r="L453" s="132" t="s">
        <v>1136</v>
      </c>
      <c r="M453" s="133"/>
      <c r="N453" s="133"/>
      <c r="O453" s="133"/>
      <c r="P453" s="133"/>
      <c r="Q453" s="133"/>
      <c r="R453" s="133"/>
      <c r="S453" s="133"/>
      <c r="T453" s="133"/>
      <c r="U453" s="133"/>
      <c r="V453" s="133"/>
      <c r="W453" s="133"/>
      <c r="X453" s="133"/>
      <c r="Y453" s="133"/>
      <c r="Z453" s="133"/>
      <c r="AA453" s="133"/>
      <c r="AB453" s="133"/>
      <c r="AC453" s="133"/>
      <c r="AD453" s="133"/>
      <c r="AE453" s="133"/>
      <c r="AF453" s="133"/>
      <c r="AG453" s="133"/>
      <c r="AH453" s="133"/>
      <c r="AI453" s="133"/>
      <c r="AJ453" s="133"/>
      <c r="AK453" s="133"/>
      <c r="AL453" s="133"/>
      <c r="AM453" s="133"/>
      <c r="AN453" s="133"/>
      <c r="AO453" s="133"/>
      <c r="AP453" s="133"/>
      <c r="AQ453" s="133"/>
      <c r="AR453" s="133"/>
      <c r="AS453" s="133"/>
      <c r="AT453" s="133"/>
      <c r="AU453" s="133"/>
      <c r="AV453" s="132" t="s">
        <v>1151</v>
      </c>
      <c r="AW453" s="133"/>
      <c r="AX453" s="134">
        <f>'Stavební rozpočet'!F454</f>
        <v>81.259</v>
      </c>
      <c r="AY453" s="135"/>
      <c r="AZ453" s="135"/>
      <c r="BA453" s="135"/>
      <c r="BB453" s="135"/>
      <c r="BC453" s="134">
        <f>'Stavební rozpočet'!G454</f>
        <v>0</v>
      </c>
      <c r="BD453" s="135"/>
      <c r="BE453" s="135"/>
      <c r="BF453" s="135"/>
      <c r="BG453" s="135"/>
      <c r="BH453" s="135"/>
      <c r="BI453" s="135"/>
      <c r="BJ453" s="135"/>
      <c r="BK453" s="134">
        <f>IR453*AX453+IS453*AX453</f>
        <v>0</v>
      </c>
      <c r="BL453" s="135"/>
      <c r="BM453" s="135"/>
      <c r="BN453" s="135"/>
      <c r="BO453" s="135"/>
      <c r="BP453" s="135"/>
      <c r="BQ453" s="135"/>
      <c r="BR453" s="135"/>
      <c r="BS453" s="132" t="s">
        <v>1177</v>
      </c>
      <c r="BT453" s="133"/>
      <c r="BU453" s="133"/>
      <c r="BV453" s="133"/>
      <c r="BW453" s="133"/>
      <c r="BX453" s="133"/>
      <c r="IR453" s="46">
        <f>BC453*0.42972972972973</f>
        <v>0</v>
      </c>
      <c r="IS453" s="46">
        <f>BC453*(1-0.42972972972973)</f>
        <v>0</v>
      </c>
    </row>
    <row r="454" spans="1:253" ht="12.75">
      <c r="A454" s="132" t="s">
        <v>371</v>
      </c>
      <c r="B454" s="133"/>
      <c r="C454" s="132"/>
      <c r="D454" s="133"/>
      <c r="E454" s="133"/>
      <c r="F454" s="132" t="s">
        <v>732</v>
      </c>
      <c r="G454" s="133"/>
      <c r="H454" s="133"/>
      <c r="I454" s="133"/>
      <c r="J454" s="133"/>
      <c r="K454" s="133"/>
      <c r="L454" s="132" t="s">
        <v>1137</v>
      </c>
      <c r="M454" s="133"/>
      <c r="N454" s="133"/>
      <c r="O454" s="133"/>
      <c r="P454" s="133"/>
      <c r="Q454" s="133"/>
      <c r="R454" s="133"/>
      <c r="S454" s="133"/>
      <c r="T454" s="133"/>
      <c r="U454" s="133"/>
      <c r="V454" s="133"/>
      <c r="W454" s="133"/>
      <c r="X454" s="133"/>
      <c r="Y454" s="133"/>
      <c r="Z454" s="133"/>
      <c r="AA454" s="133"/>
      <c r="AB454" s="133"/>
      <c r="AC454" s="133"/>
      <c r="AD454" s="133"/>
      <c r="AE454" s="133"/>
      <c r="AF454" s="133"/>
      <c r="AG454" s="133"/>
      <c r="AH454" s="133"/>
      <c r="AI454" s="133"/>
      <c r="AJ454" s="133"/>
      <c r="AK454" s="133"/>
      <c r="AL454" s="133"/>
      <c r="AM454" s="133"/>
      <c r="AN454" s="133"/>
      <c r="AO454" s="133"/>
      <c r="AP454" s="133"/>
      <c r="AQ454" s="133"/>
      <c r="AR454" s="133"/>
      <c r="AS454" s="133"/>
      <c r="AT454" s="133"/>
      <c r="AU454" s="133"/>
      <c r="AV454" s="132" t="s">
        <v>1151</v>
      </c>
      <c r="AW454" s="133"/>
      <c r="AX454" s="134">
        <f>'Stavební rozpočet'!F455</f>
        <v>40.91</v>
      </c>
      <c r="AY454" s="135"/>
      <c r="AZ454" s="135"/>
      <c r="BA454" s="135"/>
      <c r="BB454" s="135"/>
      <c r="BC454" s="134">
        <f>'Stavební rozpočet'!G455</f>
        <v>0</v>
      </c>
      <c r="BD454" s="135"/>
      <c r="BE454" s="135"/>
      <c r="BF454" s="135"/>
      <c r="BG454" s="135"/>
      <c r="BH454" s="135"/>
      <c r="BI454" s="135"/>
      <c r="BJ454" s="135"/>
      <c r="BK454" s="134">
        <f>IR454*AX454+IS454*AX454</f>
        <v>0</v>
      </c>
      <c r="BL454" s="135"/>
      <c r="BM454" s="135"/>
      <c r="BN454" s="135"/>
      <c r="BO454" s="135"/>
      <c r="BP454" s="135"/>
      <c r="BQ454" s="135"/>
      <c r="BR454" s="135"/>
      <c r="BS454" s="132" t="s">
        <v>1177</v>
      </c>
      <c r="BT454" s="133"/>
      <c r="BU454" s="133"/>
      <c r="BV454" s="133"/>
      <c r="BW454" s="133"/>
      <c r="BX454" s="133"/>
      <c r="IR454" s="46">
        <f>BC454*0.166447368421053</f>
        <v>0</v>
      </c>
      <c r="IS454" s="46">
        <f>BC454*(1-0.166447368421053)</f>
        <v>0</v>
      </c>
    </row>
    <row r="455" spans="1:76" ht="12.75">
      <c r="A455" s="132"/>
      <c r="B455" s="133"/>
      <c r="C455" s="133"/>
      <c r="D455" s="133"/>
      <c r="E455" s="133"/>
      <c r="F455" s="133"/>
      <c r="G455" s="133"/>
      <c r="H455" s="133"/>
      <c r="I455" s="133"/>
      <c r="J455" s="133"/>
      <c r="K455" s="133"/>
      <c r="L455" s="141" t="s">
        <v>1138</v>
      </c>
      <c r="M455" s="142"/>
      <c r="N455" s="142"/>
      <c r="O455" s="142"/>
      <c r="P455" s="142"/>
      <c r="Q455" s="142"/>
      <c r="R455" s="142"/>
      <c r="S455" s="142"/>
      <c r="T455" s="142"/>
      <c r="U455" s="142"/>
      <c r="V455" s="142"/>
      <c r="W455" s="142"/>
      <c r="X455" s="142"/>
      <c r="Y455" s="142"/>
      <c r="Z455" s="142"/>
      <c r="AA455" s="142"/>
      <c r="AB455" s="142"/>
      <c r="AC455" s="142"/>
      <c r="AD455" s="142"/>
      <c r="AE455" s="142"/>
      <c r="AF455" s="142"/>
      <c r="AG455" s="142"/>
      <c r="AH455" s="142"/>
      <c r="AI455" s="142"/>
      <c r="AJ455" s="142"/>
      <c r="AK455" s="142"/>
      <c r="AL455" s="142"/>
      <c r="AM455" s="142"/>
      <c r="AN455" s="142"/>
      <c r="AO455" s="142"/>
      <c r="AP455" s="142"/>
      <c r="AQ455" s="142"/>
      <c r="AR455" s="142"/>
      <c r="AS455" s="142"/>
      <c r="AT455" s="142"/>
      <c r="AU455" s="142"/>
      <c r="AV455" s="132"/>
      <c r="AW455" s="133"/>
      <c r="AX455" s="133"/>
      <c r="AY455" s="133"/>
      <c r="AZ455" s="133"/>
      <c r="BA455" s="133"/>
      <c r="BB455" s="133"/>
      <c r="BC455" s="133"/>
      <c r="BD455" s="133"/>
      <c r="BE455" s="133"/>
      <c r="BF455" s="133"/>
      <c r="BG455" s="133"/>
      <c r="BH455" s="133"/>
      <c r="BI455" s="133"/>
      <c r="BJ455" s="133"/>
      <c r="BK455" s="133"/>
      <c r="BL455" s="133"/>
      <c r="BM455" s="133"/>
      <c r="BN455" s="133"/>
      <c r="BO455" s="133"/>
      <c r="BP455" s="133"/>
      <c r="BQ455" s="133"/>
      <c r="BR455" s="133"/>
      <c r="BS455" s="133"/>
      <c r="BT455" s="133"/>
      <c r="BU455" s="133"/>
      <c r="BV455" s="133"/>
      <c r="BW455" s="133"/>
      <c r="BX455" s="133"/>
    </row>
    <row r="456" spans="1:253" ht="12.75">
      <c r="A456" s="132" t="s">
        <v>372</v>
      </c>
      <c r="B456" s="133"/>
      <c r="C456" s="132"/>
      <c r="D456" s="133"/>
      <c r="E456" s="133"/>
      <c r="F456" s="132" t="s">
        <v>733</v>
      </c>
      <c r="G456" s="133"/>
      <c r="H456" s="133"/>
      <c r="I456" s="133"/>
      <c r="J456" s="133"/>
      <c r="K456" s="133"/>
      <c r="L456" s="132" t="s">
        <v>1139</v>
      </c>
      <c r="M456" s="133"/>
      <c r="N456" s="133"/>
      <c r="O456" s="133"/>
      <c r="P456" s="133"/>
      <c r="Q456" s="133"/>
      <c r="R456" s="133"/>
      <c r="S456" s="133"/>
      <c r="T456" s="133"/>
      <c r="U456" s="133"/>
      <c r="V456" s="133"/>
      <c r="W456" s="133"/>
      <c r="X456" s="133"/>
      <c r="Y456" s="133"/>
      <c r="Z456" s="133"/>
      <c r="AA456" s="133"/>
      <c r="AB456" s="133"/>
      <c r="AC456" s="133"/>
      <c r="AD456" s="133"/>
      <c r="AE456" s="133"/>
      <c r="AF456" s="133"/>
      <c r="AG456" s="133"/>
      <c r="AH456" s="133"/>
      <c r="AI456" s="133"/>
      <c r="AJ456" s="133"/>
      <c r="AK456" s="133"/>
      <c r="AL456" s="133"/>
      <c r="AM456" s="133"/>
      <c r="AN456" s="133"/>
      <c r="AO456" s="133"/>
      <c r="AP456" s="133"/>
      <c r="AQ456" s="133"/>
      <c r="AR456" s="133"/>
      <c r="AS456" s="133"/>
      <c r="AT456" s="133"/>
      <c r="AU456" s="133"/>
      <c r="AV456" s="132" t="s">
        <v>1151</v>
      </c>
      <c r="AW456" s="133"/>
      <c r="AX456" s="134">
        <f>'Stavební rozpočet'!F457</f>
        <v>81.259</v>
      </c>
      <c r="AY456" s="135"/>
      <c r="AZ456" s="135"/>
      <c r="BA456" s="135"/>
      <c r="BB456" s="135"/>
      <c r="BC456" s="134">
        <f>'Stavební rozpočet'!G457</f>
        <v>0</v>
      </c>
      <c r="BD456" s="135"/>
      <c r="BE456" s="135"/>
      <c r="BF456" s="135"/>
      <c r="BG456" s="135"/>
      <c r="BH456" s="135"/>
      <c r="BI456" s="135"/>
      <c r="BJ456" s="135"/>
      <c r="BK456" s="134">
        <f>IR456*AX456+IS456*AX456</f>
        <v>0</v>
      </c>
      <c r="BL456" s="135"/>
      <c r="BM456" s="135"/>
      <c r="BN456" s="135"/>
      <c r="BO456" s="135"/>
      <c r="BP456" s="135"/>
      <c r="BQ456" s="135"/>
      <c r="BR456" s="135"/>
      <c r="BS456" s="132" t="s">
        <v>1177</v>
      </c>
      <c r="BT456" s="133"/>
      <c r="BU456" s="133"/>
      <c r="BV456" s="133"/>
      <c r="BW456" s="133"/>
      <c r="BX456" s="133"/>
      <c r="IR456" s="46">
        <f>BC456*0.158474576271186</f>
        <v>0</v>
      </c>
      <c r="IS456" s="46">
        <f>BC456*(1-0.158474576271186)</f>
        <v>0</v>
      </c>
    </row>
    <row r="457" spans="1:253" ht="12.75">
      <c r="A457" s="132" t="s">
        <v>373</v>
      </c>
      <c r="B457" s="133"/>
      <c r="C457" s="132"/>
      <c r="D457" s="133"/>
      <c r="E457" s="133"/>
      <c r="F457" s="132" t="s">
        <v>734</v>
      </c>
      <c r="G457" s="133"/>
      <c r="H457" s="133"/>
      <c r="I457" s="133"/>
      <c r="J457" s="133"/>
      <c r="K457" s="133"/>
      <c r="L457" s="132" t="s">
        <v>1140</v>
      </c>
      <c r="M457" s="133"/>
      <c r="N457" s="133"/>
      <c r="O457" s="133"/>
      <c r="P457" s="133"/>
      <c r="Q457" s="133"/>
      <c r="R457" s="133"/>
      <c r="S457" s="133"/>
      <c r="T457" s="133"/>
      <c r="U457" s="133"/>
      <c r="V457" s="133"/>
      <c r="W457" s="133"/>
      <c r="X457" s="133"/>
      <c r="Y457" s="133"/>
      <c r="Z457" s="133"/>
      <c r="AA457" s="133"/>
      <c r="AB457" s="133"/>
      <c r="AC457" s="133"/>
      <c r="AD457" s="133"/>
      <c r="AE457" s="133"/>
      <c r="AF457" s="133"/>
      <c r="AG457" s="133"/>
      <c r="AH457" s="133"/>
      <c r="AI457" s="133"/>
      <c r="AJ457" s="133"/>
      <c r="AK457" s="133"/>
      <c r="AL457" s="133"/>
      <c r="AM457" s="133"/>
      <c r="AN457" s="133"/>
      <c r="AO457" s="133"/>
      <c r="AP457" s="133"/>
      <c r="AQ457" s="133"/>
      <c r="AR457" s="133"/>
      <c r="AS457" s="133"/>
      <c r="AT457" s="133"/>
      <c r="AU457" s="133"/>
      <c r="AV457" s="132" t="s">
        <v>1151</v>
      </c>
      <c r="AW457" s="133"/>
      <c r="AX457" s="134">
        <f>'Stavební rozpočet'!F458</f>
        <v>40.91</v>
      </c>
      <c r="AY457" s="135"/>
      <c r="AZ457" s="135"/>
      <c r="BA457" s="135"/>
      <c r="BB457" s="135"/>
      <c r="BC457" s="134">
        <f>'Stavební rozpočet'!G458</f>
        <v>0</v>
      </c>
      <c r="BD457" s="135"/>
      <c r="BE457" s="135"/>
      <c r="BF457" s="135"/>
      <c r="BG457" s="135"/>
      <c r="BH457" s="135"/>
      <c r="BI457" s="135"/>
      <c r="BJ457" s="135"/>
      <c r="BK457" s="134">
        <f>IR457*AX457+IS457*AX457</f>
        <v>0</v>
      </c>
      <c r="BL457" s="135"/>
      <c r="BM457" s="135"/>
      <c r="BN457" s="135"/>
      <c r="BO457" s="135"/>
      <c r="BP457" s="135"/>
      <c r="BQ457" s="135"/>
      <c r="BR457" s="135"/>
      <c r="BS457" s="132" t="s">
        <v>1177</v>
      </c>
      <c r="BT457" s="133"/>
      <c r="BU457" s="133"/>
      <c r="BV457" s="133"/>
      <c r="BW457" s="133"/>
      <c r="BX457" s="133"/>
      <c r="IR457" s="46">
        <f>BC457*0.285431654676259</f>
        <v>0</v>
      </c>
      <c r="IS457" s="46">
        <f>BC457*(1-0.285431654676259)</f>
        <v>0</v>
      </c>
    </row>
    <row r="458" spans="1:76" ht="12.75">
      <c r="A458" s="132"/>
      <c r="B458" s="133"/>
      <c r="C458" s="133"/>
      <c r="D458" s="133"/>
      <c r="E458" s="133"/>
      <c r="F458" s="133"/>
      <c r="G458" s="133"/>
      <c r="H458" s="133"/>
      <c r="I458" s="133"/>
      <c r="J458" s="133"/>
      <c r="K458" s="133"/>
      <c r="L458" s="141" t="s">
        <v>1138</v>
      </c>
      <c r="M458" s="142"/>
      <c r="N458" s="142"/>
      <c r="O458" s="142"/>
      <c r="P458" s="142"/>
      <c r="Q458" s="142"/>
      <c r="R458" s="142"/>
      <c r="S458" s="142"/>
      <c r="T458" s="142"/>
      <c r="U458" s="142"/>
      <c r="V458" s="142"/>
      <c r="W458" s="142"/>
      <c r="X458" s="142"/>
      <c r="Y458" s="142"/>
      <c r="Z458" s="142"/>
      <c r="AA458" s="142"/>
      <c r="AB458" s="142"/>
      <c r="AC458" s="142"/>
      <c r="AD458" s="142"/>
      <c r="AE458" s="142"/>
      <c r="AF458" s="142"/>
      <c r="AG458" s="142"/>
      <c r="AH458" s="142"/>
      <c r="AI458" s="142"/>
      <c r="AJ458" s="142"/>
      <c r="AK458" s="142"/>
      <c r="AL458" s="142"/>
      <c r="AM458" s="142"/>
      <c r="AN458" s="142"/>
      <c r="AO458" s="142"/>
      <c r="AP458" s="142"/>
      <c r="AQ458" s="142"/>
      <c r="AR458" s="142"/>
      <c r="AS458" s="142"/>
      <c r="AT458" s="142"/>
      <c r="AU458" s="142"/>
      <c r="AV458" s="132"/>
      <c r="AW458" s="133"/>
      <c r="AX458" s="133"/>
      <c r="AY458" s="133"/>
      <c r="AZ458" s="133"/>
      <c r="BA458" s="133"/>
      <c r="BB458" s="133"/>
      <c r="BC458" s="133"/>
      <c r="BD458" s="133"/>
      <c r="BE458" s="133"/>
      <c r="BF458" s="133"/>
      <c r="BG458" s="133"/>
      <c r="BH458" s="133"/>
      <c r="BI458" s="133"/>
      <c r="BJ458" s="133"/>
      <c r="BK458" s="133"/>
      <c r="BL458" s="133"/>
      <c r="BM458" s="133"/>
      <c r="BN458" s="133"/>
      <c r="BO458" s="133"/>
      <c r="BP458" s="133"/>
      <c r="BQ458" s="133"/>
      <c r="BR458" s="133"/>
      <c r="BS458" s="133"/>
      <c r="BT458" s="133"/>
      <c r="BU458" s="133"/>
      <c r="BV458" s="133"/>
      <c r="BW458" s="133"/>
      <c r="BX458" s="133"/>
    </row>
    <row r="459" spans="1:76" ht="12.75">
      <c r="A459" s="136" t="s">
        <v>6</v>
      </c>
      <c r="B459" s="137"/>
      <c r="C459" s="136" t="s">
        <v>6</v>
      </c>
      <c r="D459" s="137"/>
      <c r="E459" s="137"/>
      <c r="F459" s="136" t="s">
        <v>735</v>
      </c>
      <c r="G459" s="137"/>
      <c r="H459" s="137"/>
      <c r="I459" s="137"/>
      <c r="J459" s="137"/>
      <c r="K459" s="137"/>
      <c r="L459" s="136" t="s">
        <v>1141</v>
      </c>
      <c r="M459" s="137"/>
      <c r="N459" s="137"/>
      <c r="O459" s="137"/>
      <c r="P459" s="137"/>
      <c r="Q459" s="137"/>
      <c r="R459" s="137"/>
      <c r="S459" s="137"/>
      <c r="T459" s="137"/>
      <c r="U459" s="137"/>
      <c r="V459" s="137"/>
      <c r="W459" s="137"/>
      <c r="X459" s="137"/>
      <c r="Y459" s="137"/>
      <c r="Z459" s="137"/>
      <c r="AA459" s="137"/>
      <c r="AB459" s="137"/>
      <c r="AC459" s="137"/>
      <c r="AD459" s="137"/>
      <c r="AE459" s="137"/>
      <c r="AF459" s="137"/>
      <c r="AG459" s="137"/>
      <c r="AH459" s="137"/>
      <c r="AI459" s="137"/>
      <c r="AJ459" s="137"/>
      <c r="AK459" s="137"/>
      <c r="AL459" s="137"/>
      <c r="AM459" s="137"/>
      <c r="AN459" s="137"/>
      <c r="AO459" s="137"/>
      <c r="AP459" s="137"/>
      <c r="AQ459" s="137"/>
      <c r="AR459" s="137"/>
      <c r="AS459" s="137"/>
      <c r="AT459" s="137"/>
      <c r="AU459" s="137"/>
      <c r="AV459" s="136" t="s">
        <v>6</v>
      </c>
      <c r="AW459" s="137"/>
      <c r="AX459" s="138" t="s">
        <v>6</v>
      </c>
      <c r="AY459" s="139"/>
      <c r="AZ459" s="139"/>
      <c r="BA459" s="139"/>
      <c r="BB459" s="139"/>
      <c r="BC459" s="138" t="s">
        <v>6</v>
      </c>
      <c r="BD459" s="139"/>
      <c r="BE459" s="139"/>
      <c r="BF459" s="139"/>
      <c r="BG459" s="139"/>
      <c r="BH459" s="139"/>
      <c r="BI459" s="139"/>
      <c r="BJ459" s="139"/>
      <c r="BK459" s="147">
        <f>SUM(BK460:BK462)</f>
        <v>0</v>
      </c>
      <c r="BL459" s="148"/>
      <c r="BM459" s="148"/>
      <c r="BN459" s="148"/>
      <c r="BO459" s="148"/>
      <c r="BP459" s="148"/>
      <c r="BQ459" s="148"/>
      <c r="BR459" s="148"/>
      <c r="BS459" s="136" t="s">
        <v>6</v>
      </c>
      <c r="BT459" s="137"/>
      <c r="BU459" s="137"/>
      <c r="BV459" s="137"/>
      <c r="BW459" s="137"/>
      <c r="BX459" s="137"/>
    </row>
    <row r="460" spans="1:253" ht="12.75">
      <c r="A460" s="132" t="s">
        <v>374</v>
      </c>
      <c r="B460" s="133"/>
      <c r="C460" s="132"/>
      <c r="D460" s="133"/>
      <c r="E460" s="133"/>
      <c r="F460" s="132" t="s">
        <v>736</v>
      </c>
      <c r="G460" s="133"/>
      <c r="H460" s="133"/>
      <c r="I460" s="133"/>
      <c r="J460" s="133"/>
      <c r="K460" s="133"/>
      <c r="L460" s="132" t="s">
        <v>1142</v>
      </c>
      <c r="M460" s="133"/>
      <c r="N460" s="133"/>
      <c r="O460" s="133"/>
      <c r="P460" s="133"/>
      <c r="Q460" s="133"/>
      <c r="R460" s="133"/>
      <c r="S460" s="133"/>
      <c r="T460" s="133"/>
      <c r="U460" s="133"/>
      <c r="V460" s="133"/>
      <c r="W460" s="133"/>
      <c r="X460" s="133"/>
      <c r="Y460" s="133"/>
      <c r="Z460" s="133"/>
      <c r="AA460" s="133"/>
      <c r="AB460" s="133"/>
      <c r="AC460" s="133"/>
      <c r="AD460" s="133"/>
      <c r="AE460" s="133"/>
      <c r="AF460" s="133"/>
      <c r="AG460" s="133"/>
      <c r="AH460" s="133"/>
      <c r="AI460" s="133"/>
      <c r="AJ460" s="133"/>
      <c r="AK460" s="133"/>
      <c r="AL460" s="133"/>
      <c r="AM460" s="133"/>
      <c r="AN460" s="133"/>
      <c r="AO460" s="133"/>
      <c r="AP460" s="133"/>
      <c r="AQ460" s="133"/>
      <c r="AR460" s="133"/>
      <c r="AS460" s="133"/>
      <c r="AT460" s="133"/>
      <c r="AU460" s="133"/>
      <c r="AV460" s="132" t="s">
        <v>1153</v>
      </c>
      <c r="AW460" s="133"/>
      <c r="AX460" s="134">
        <f>'Stavební rozpočet'!F461</f>
        <v>1</v>
      </c>
      <c r="AY460" s="135"/>
      <c r="AZ460" s="135"/>
      <c r="BA460" s="135"/>
      <c r="BB460" s="135"/>
      <c r="BC460" s="134">
        <f>'Stavební rozpočet'!G461</f>
        <v>0</v>
      </c>
      <c r="BD460" s="135"/>
      <c r="BE460" s="135"/>
      <c r="BF460" s="135"/>
      <c r="BG460" s="135"/>
      <c r="BH460" s="135"/>
      <c r="BI460" s="135"/>
      <c r="BJ460" s="135"/>
      <c r="BK460" s="134">
        <f>IR460*AX460+IS460*AX460</f>
        <v>0</v>
      </c>
      <c r="BL460" s="135"/>
      <c r="BM460" s="135"/>
      <c r="BN460" s="135"/>
      <c r="BO460" s="135"/>
      <c r="BP460" s="135"/>
      <c r="BQ460" s="135"/>
      <c r="BR460" s="135"/>
      <c r="BS460" s="132" t="s">
        <v>1177</v>
      </c>
      <c r="BT460" s="133"/>
      <c r="BU460" s="133"/>
      <c r="BV460" s="133"/>
      <c r="BW460" s="133"/>
      <c r="BX460" s="133"/>
      <c r="IR460" s="46">
        <f>BC460*0</f>
        <v>0</v>
      </c>
      <c r="IS460" s="46">
        <f>BC460*(1-0)</f>
        <v>0</v>
      </c>
    </row>
    <row r="461" spans="1:253" ht="12.75">
      <c r="A461" s="132" t="s">
        <v>375</v>
      </c>
      <c r="B461" s="133"/>
      <c r="C461" s="132"/>
      <c r="D461" s="133"/>
      <c r="E461" s="133"/>
      <c r="F461" s="132" t="s">
        <v>737</v>
      </c>
      <c r="G461" s="133"/>
      <c r="H461" s="133"/>
      <c r="I461" s="133"/>
      <c r="J461" s="133"/>
      <c r="K461" s="133"/>
      <c r="L461" s="132" t="s">
        <v>1143</v>
      </c>
      <c r="M461" s="133"/>
      <c r="N461" s="133"/>
      <c r="O461" s="133"/>
      <c r="P461" s="133"/>
      <c r="Q461" s="133"/>
      <c r="R461" s="133"/>
      <c r="S461" s="133"/>
      <c r="T461" s="133"/>
      <c r="U461" s="133"/>
      <c r="V461" s="133"/>
      <c r="W461" s="133"/>
      <c r="X461" s="133"/>
      <c r="Y461" s="133"/>
      <c r="Z461" s="133"/>
      <c r="AA461" s="133"/>
      <c r="AB461" s="133"/>
      <c r="AC461" s="133"/>
      <c r="AD461" s="133"/>
      <c r="AE461" s="133"/>
      <c r="AF461" s="133"/>
      <c r="AG461" s="133"/>
      <c r="AH461" s="133"/>
      <c r="AI461" s="133"/>
      <c r="AJ461" s="133"/>
      <c r="AK461" s="133"/>
      <c r="AL461" s="133"/>
      <c r="AM461" s="133"/>
      <c r="AN461" s="133"/>
      <c r="AO461" s="133"/>
      <c r="AP461" s="133"/>
      <c r="AQ461" s="133"/>
      <c r="AR461" s="133"/>
      <c r="AS461" s="133"/>
      <c r="AT461" s="133"/>
      <c r="AU461" s="133"/>
      <c r="AV461" s="132" t="s">
        <v>1153</v>
      </c>
      <c r="AW461" s="133"/>
      <c r="AX461" s="134">
        <f>'Stavební rozpočet'!F462</f>
        <v>1</v>
      </c>
      <c r="AY461" s="135"/>
      <c r="AZ461" s="135"/>
      <c r="BA461" s="135"/>
      <c r="BB461" s="135"/>
      <c r="BC461" s="134">
        <f>'Stavební rozpočet'!G462</f>
        <v>0</v>
      </c>
      <c r="BD461" s="135"/>
      <c r="BE461" s="135"/>
      <c r="BF461" s="135"/>
      <c r="BG461" s="135"/>
      <c r="BH461" s="135"/>
      <c r="BI461" s="135"/>
      <c r="BJ461" s="135"/>
      <c r="BK461" s="134">
        <f>IR461*AX461+IS461*AX461</f>
        <v>0</v>
      </c>
      <c r="BL461" s="135"/>
      <c r="BM461" s="135"/>
      <c r="BN461" s="135"/>
      <c r="BO461" s="135"/>
      <c r="BP461" s="135"/>
      <c r="BQ461" s="135"/>
      <c r="BR461" s="135"/>
      <c r="BS461" s="132" t="s">
        <v>1177</v>
      </c>
      <c r="BT461" s="133"/>
      <c r="BU461" s="133"/>
      <c r="BV461" s="133"/>
      <c r="BW461" s="133"/>
      <c r="BX461" s="133"/>
      <c r="IR461" s="46">
        <f>BC461*0</f>
        <v>0</v>
      </c>
      <c r="IS461" s="46">
        <f>BC461*(1-0)</f>
        <v>0</v>
      </c>
    </row>
    <row r="462" spans="1:253" ht="12.75">
      <c r="A462" s="132" t="s">
        <v>376</v>
      </c>
      <c r="B462" s="133"/>
      <c r="C462" s="132"/>
      <c r="D462" s="133"/>
      <c r="E462" s="133"/>
      <c r="F462" s="132" t="s">
        <v>738</v>
      </c>
      <c r="G462" s="133"/>
      <c r="H462" s="133"/>
      <c r="I462" s="133"/>
      <c r="J462" s="133"/>
      <c r="K462" s="133"/>
      <c r="L462" s="132" t="s">
        <v>1144</v>
      </c>
      <c r="M462" s="133"/>
      <c r="N462" s="133"/>
      <c r="O462" s="133"/>
      <c r="P462" s="133"/>
      <c r="Q462" s="133"/>
      <c r="R462" s="133"/>
      <c r="S462" s="133"/>
      <c r="T462" s="133"/>
      <c r="U462" s="133"/>
      <c r="V462" s="133"/>
      <c r="W462" s="133"/>
      <c r="X462" s="133"/>
      <c r="Y462" s="133"/>
      <c r="Z462" s="133"/>
      <c r="AA462" s="133"/>
      <c r="AB462" s="133"/>
      <c r="AC462" s="133"/>
      <c r="AD462" s="133"/>
      <c r="AE462" s="133"/>
      <c r="AF462" s="133"/>
      <c r="AG462" s="133"/>
      <c r="AH462" s="133"/>
      <c r="AI462" s="133"/>
      <c r="AJ462" s="133"/>
      <c r="AK462" s="133"/>
      <c r="AL462" s="133"/>
      <c r="AM462" s="133"/>
      <c r="AN462" s="133"/>
      <c r="AO462" s="133"/>
      <c r="AP462" s="133"/>
      <c r="AQ462" s="133"/>
      <c r="AR462" s="133"/>
      <c r="AS462" s="133"/>
      <c r="AT462" s="133"/>
      <c r="AU462" s="133"/>
      <c r="AV462" s="132" t="s">
        <v>1153</v>
      </c>
      <c r="AW462" s="133"/>
      <c r="AX462" s="134">
        <f>'Stavební rozpočet'!F463</f>
        <v>1</v>
      </c>
      <c r="AY462" s="135"/>
      <c r="AZ462" s="135"/>
      <c r="BA462" s="135"/>
      <c r="BB462" s="135"/>
      <c r="BC462" s="134">
        <f>'Stavební rozpočet'!G463</f>
        <v>0</v>
      </c>
      <c r="BD462" s="135"/>
      <c r="BE462" s="135"/>
      <c r="BF462" s="135"/>
      <c r="BG462" s="135"/>
      <c r="BH462" s="135"/>
      <c r="BI462" s="135"/>
      <c r="BJ462" s="135"/>
      <c r="BK462" s="134">
        <f>IR462*AX462+IS462*AX462</f>
        <v>0</v>
      </c>
      <c r="BL462" s="135"/>
      <c r="BM462" s="135"/>
      <c r="BN462" s="135"/>
      <c r="BO462" s="135"/>
      <c r="BP462" s="135"/>
      <c r="BQ462" s="135"/>
      <c r="BR462" s="135"/>
      <c r="BS462" s="132" t="s">
        <v>1177</v>
      </c>
      <c r="BT462" s="133"/>
      <c r="BU462" s="133"/>
      <c r="BV462" s="133"/>
      <c r="BW462" s="133"/>
      <c r="BX462" s="133"/>
      <c r="IR462" s="46">
        <f>BC462*0</f>
        <v>0</v>
      </c>
      <c r="IS462" s="46">
        <f>BC462*(1-0)</f>
        <v>0</v>
      </c>
    </row>
    <row r="464" spans="55:70" ht="12.75">
      <c r="BC464" s="149" t="s">
        <v>1167</v>
      </c>
      <c r="BD464" s="81"/>
      <c r="BE464" s="81"/>
      <c r="BF464" s="81"/>
      <c r="BG464" s="81"/>
      <c r="BH464" s="81"/>
      <c r="BI464" s="81"/>
      <c r="BJ464" s="81"/>
      <c r="BK464" s="150">
        <f>BK11+BK16+BK18+BK21+BK29+BK39+BK43+BK50+BK54+BK56+BK59+BK61+BK68+BK73+BK75+BK78+BK83+BK86+BK94+BK96+BK115+BK123+BK137+BK181+BK231+BK312+BK355+BK381+BK390+BK408+BK421+BK434+BK449+BK452+BK459</f>
        <v>0</v>
      </c>
      <c r="BL464" s="151"/>
      <c r="BM464" s="151"/>
      <c r="BN464" s="151"/>
      <c r="BO464" s="151"/>
      <c r="BP464" s="151"/>
      <c r="BQ464" s="151"/>
      <c r="BR464" s="151"/>
    </row>
  </sheetData>
  <sheetProtection/>
  <mergeCells count="3822">
    <mergeCell ref="BC464:BJ464"/>
    <mergeCell ref="BK464:BR464"/>
    <mergeCell ref="BS461:BX461"/>
    <mergeCell ref="A462:B462"/>
    <mergeCell ref="C462:E462"/>
    <mergeCell ref="F462:K462"/>
    <mergeCell ref="L462:AU462"/>
    <mergeCell ref="AV462:AW462"/>
    <mergeCell ref="AX462:BB462"/>
    <mergeCell ref="BC462:BJ462"/>
    <mergeCell ref="BK462:BR462"/>
    <mergeCell ref="BS462:BX462"/>
    <mergeCell ref="BK460:BR460"/>
    <mergeCell ref="BS460:BX460"/>
    <mergeCell ref="A461:B461"/>
    <mergeCell ref="C461:E461"/>
    <mergeCell ref="F461:K461"/>
    <mergeCell ref="L461:AU461"/>
    <mergeCell ref="AV461:AW461"/>
    <mergeCell ref="AX461:BB461"/>
    <mergeCell ref="BC461:BJ461"/>
    <mergeCell ref="BK461:BR461"/>
    <mergeCell ref="BC459:BJ459"/>
    <mergeCell ref="BK459:BR459"/>
    <mergeCell ref="BS459:BX459"/>
    <mergeCell ref="A460:B460"/>
    <mergeCell ref="C460:E460"/>
    <mergeCell ref="F460:K460"/>
    <mergeCell ref="L460:AU460"/>
    <mergeCell ref="AV460:AW460"/>
    <mergeCell ref="AX460:BB460"/>
    <mergeCell ref="BC460:BJ460"/>
    <mergeCell ref="BS457:BX457"/>
    <mergeCell ref="A458:K458"/>
    <mergeCell ref="L458:AU458"/>
    <mergeCell ref="AV458:BX458"/>
    <mergeCell ref="A459:B459"/>
    <mergeCell ref="C459:E459"/>
    <mergeCell ref="F459:K459"/>
    <mergeCell ref="L459:AU459"/>
    <mergeCell ref="AV459:AW459"/>
    <mergeCell ref="AX459:BB459"/>
    <mergeCell ref="BK456:BR456"/>
    <mergeCell ref="BS456:BX456"/>
    <mergeCell ref="A457:B457"/>
    <mergeCell ref="C457:E457"/>
    <mergeCell ref="F457:K457"/>
    <mergeCell ref="L457:AU457"/>
    <mergeCell ref="AV457:AW457"/>
    <mergeCell ref="AX457:BB457"/>
    <mergeCell ref="BC457:BJ457"/>
    <mergeCell ref="BK457:BR457"/>
    <mergeCell ref="A455:K455"/>
    <mergeCell ref="L455:AU455"/>
    <mergeCell ref="AV455:BX455"/>
    <mergeCell ref="A456:B456"/>
    <mergeCell ref="C456:E456"/>
    <mergeCell ref="F456:K456"/>
    <mergeCell ref="L456:AU456"/>
    <mergeCell ref="AV456:AW456"/>
    <mergeCell ref="AX456:BB456"/>
    <mergeCell ref="BC456:BJ456"/>
    <mergeCell ref="BS453:BX453"/>
    <mergeCell ref="A454:B454"/>
    <mergeCell ref="C454:E454"/>
    <mergeCell ref="F454:K454"/>
    <mergeCell ref="L454:AU454"/>
    <mergeCell ref="AV454:AW454"/>
    <mergeCell ref="AX454:BB454"/>
    <mergeCell ref="BC454:BJ454"/>
    <mergeCell ref="BK454:BR454"/>
    <mergeCell ref="BS454:BX454"/>
    <mergeCell ref="BK452:BR452"/>
    <mergeCell ref="BS452:BX452"/>
    <mergeCell ref="A453:B453"/>
    <mergeCell ref="C453:E453"/>
    <mergeCell ref="F453:K453"/>
    <mergeCell ref="L453:AU453"/>
    <mergeCell ref="AV453:AW453"/>
    <mergeCell ref="AX453:BB453"/>
    <mergeCell ref="BC453:BJ453"/>
    <mergeCell ref="BK453:BR453"/>
    <mergeCell ref="BC451:BJ451"/>
    <mergeCell ref="BK451:BR451"/>
    <mergeCell ref="BS451:BX451"/>
    <mergeCell ref="A452:B452"/>
    <mergeCell ref="C452:E452"/>
    <mergeCell ref="F452:K452"/>
    <mergeCell ref="L452:AU452"/>
    <mergeCell ref="AV452:AW452"/>
    <mergeCell ref="AX452:BB452"/>
    <mergeCell ref="BC452:BJ452"/>
    <mergeCell ref="A451:B451"/>
    <mergeCell ref="C451:E451"/>
    <mergeCell ref="F451:K451"/>
    <mergeCell ref="L451:AU451"/>
    <mergeCell ref="AV451:AW451"/>
    <mergeCell ref="AX451:BB451"/>
    <mergeCell ref="BS449:BX449"/>
    <mergeCell ref="A450:B450"/>
    <mergeCell ref="C450:E450"/>
    <mergeCell ref="F450:K450"/>
    <mergeCell ref="L450:AU450"/>
    <mergeCell ref="AV450:AW450"/>
    <mergeCell ref="AX450:BB450"/>
    <mergeCell ref="BC450:BJ450"/>
    <mergeCell ref="BK450:BR450"/>
    <mergeCell ref="BS450:BX450"/>
    <mergeCell ref="BK448:BR448"/>
    <mergeCell ref="BS448:BX448"/>
    <mergeCell ref="A449:B449"/>
    <mergeCell ref="C449:E449"/>
    <mergeCell ref="F449:K449"/>
    <mergeCell ref="L449:AU449"/>
    <mergeCell ref="AV449:AW449"/>
    <mergeCell ref="AX449:BB449"/>
    <mergeCell ref="BC449:BJ449"/>
    <mergeCell ref="BK449:BR449"/>
    <mergeCell ref="BC447:BJ447"/>
    <mergeCell ref="BK447:BR447"/>
    <mergeCell ref="BS447:BX447"/>
    <mergeCell ref="A448:B448"/>
    <mergeCell ref="C448:E448"/>
    <mergeCell ref="F448:K448"/>
    <mergeCell ref="L448:AU448"/>
    <mergeCell ref="AV448:AW448"/>
    <mergeCell ref="AX448:BB448"/>
    <mergeCell ref="BC448:BJ448"/>
    <mergeCell ref="A447:B447"/>
    <mergeCell ref="C447:E447"/>
    <mergeCell ref="F447:K447"/>
    <mergeCell ref="L447:AU447"/>
    <mergeCell ref="AV447:AW447"/>
    <mergeCell ref="AX447:BB447"/>
    <mergeCell ref="BC445:BJ445"/>
    <mergeCell ref="BK445:BR445"/>
    <mergeCell ref="BS445:BX445"/>
    <mergeCell ref="A446:K446"/>
    <mergeCell ref="L446:AU446"/>
    <mergeCell ref="AV446:BX446"/>
    <mergeCell ref="A445:B445"/>
    <mergeCell ref="C445:E445"/>
    <mergeCell ref="F445:K445"/>
    <mergeCell ref="L445:AU445"/>
    <mergeCell ref="AV445:AW445"/>
    <mergeCell ref="AX445:BB445"/>
    <mergeCell ref="BS443:BX443"/>
    <mergeCell ref="A444:B444"/>
    <mergeCell ref="C444:E444"/>
    <mergeCell ref="F444:K444"/>
    <mergeCell ref="L444:AU444"/>
    <mergeCell ref="AV444:AW444"/>
    <mergeCell ref="AX444:BB444"/>
    <mergeCell ref="BC444:BJ444"/>
    <mergeCell ref="BK444:BR444"/>
    <mergeCell ref="BS444:BX444"/>
    <mergeCell ref="BK442:BR442"/>
    <mergeCell ref="BS442:BX442"/>
    <mergeCell ref="A443:B443"/>
    <mergeCell ref="C443:E443"/>
    <mergeCell ref="F443:K443"/>
    <mergeCell ref="L443:AU443"/>
    <mergeCell ref="AV443:AW443"/>
    <mergeCell ref="AX443:BB443"/>
    <mergeCell ref="BC443:BJ443"/>
    <mergeCell ref="BK443:BR443"/>
    <mergeCell ref="BC441:BJ441"/>
    <mergeCell ref="BK441:BR441"/>
    <mergeCell ref="BS441:BX441"/>
    <mergeCell ref="A442:B442"/>
    <mergeCell ref="C442:E442"/>
    <mergeCell ref="F442:K442"/>
    <mergeCell ref="L442:AU442"/>
    <mergeCell ref="AV442:AW442"/>
    <mergeCell ref="AX442:BB442"/>
    <mergeCell ref="BC442:BJ442"/>
    <mergeCell ref="A441:B441"/>
    <mergeCell ref="C441:E441"/>
    <mergeCell ref="F441:K441"/>
    <mergeCell ref="L441:AU441"/>
    <mergeCell ref="AV441:AW441"/>
    <mergeCell ref="AX441:BB441"/>
    <mergeCell ref="BS439:BX439"/>
    <mergeCell ref="A440:B440"/>
    <mergeCell ref="C440:E440"/>
    <mergeCell ref="F440:K440"/>
    <mergeCell ref="L440:AU440"/>
    <mergeCell ref="AV440:AW440"/>
    <mergeCell ref="AX440:BB440"/>
    <mergeCell ref="BC440:BJ440"/>
    <mergeCell ref="BK440:BR440"/>
    <mergeCell ref="BS440:BX440"/>
    <mergeCell ref="BK438:BR438"/>
    <mergeCell ref="BS438:BX438"/>
    <mergeCell ref="A439:B439"/>
    <mergeCell ref="C439:E439"/>
    <mergeCell ref="F439:K439"/>
    <mergeCell ref="L439:AU439"/>
    <mergeCell ref="AV439:AW439"/>
    <mergeCell ref="AX439:BB439"/>
    <mergeCell ref="BC439:BJ439"/>
    <mergeCell ref="BK439:BR439"/>
    <mergeCell ref="BC437:BJ437"/>
    <mergeCell ref="BK437:BR437"/>
    <mergeCell ref="BS437:BX437"/>
    <mergeCell ref="A438:B438"/>
    <mergeCell ref="C438:E438"/>
    <mergeCell ref="F438:K438"/>
    <mergeCell ref="L438:AU438"/>
    <mergeCell ref="AV438:AW438"/>
    <mergeCell ref="AX438:BB438"/>
    <mergeCell ref="BC438:BJ438"/>
    <mergeCell ref="A437:B437"/>
    <mergeCell ref="C437:E437"/>
    <mergeCell ref="F437:K437"/>
    <mergeCell ref="L437:AU437"/>
    <mergeCell ref="AV437:AW437"/>
    <mergeCell ref="AX437:BB437"/>
    <mergeCell ref="BS435:BX435"/>
    <mergeCell ref="A436:B436"/>
    <mergeCell ref="C436:E436"/>
    <mergeCell ref="F436:K436"/>
    <mergeCell ref="L436:AU436"/>
    <mergeCell ref="AV436:AW436"/>
    <mergeCell ref="AX436:BB436"/>
    <mergeCell ref="BC436:BJ436"/>
    <mergeCell ref="BK436:BR436"/>
    <mergeCell ref="BS436:BX436"/>
    <mergeCell ref="BK434:BR434"/>
    <mergeCell ref="BS434:BX434"/>
    <mergeCell ref="A435:B435"/>
    <mergeCell ref="C435:E435"/>
    <mergeCell ref="F435:K435"/>
    <mergeCell ref="L435:AU435"/>
    <mergeCell ref="AV435:AW435"/>
    <mergeCell ref="AX435:BB435"/>
    <mergeCell ref="BC435:BJ435"/>
    <mergeCell ref="BK435:BR435"/>
    <mergeCell ref="BC433:BJ433"/>
    <mergeCell ref="BK433:BR433"/>
    <mergeCell ref="BS433:BX433"/>
    <mergeCell ref="A434:B434"/>
    <mergeCell ref="C434:E434"/>
    <mergeCell ref="F434:K434"/>
    <mergeCell ref="L434:AU434"/>
    <mergeCell ref="AV434:AW434"/>
    <mergeCell ref="AX434:BB434"/>
    <mergeCell ref="BC434:BJ434"/>
    <mergeCell ref="A433:B433"/>
    <mergeCell ref="C433:E433"/>
    <mergeCell ref="F433:K433"/>
    <mergeCell ref="L433:AU433"/>
    <mergeCell ref="AV433:AW433"/>
    <mergeCell ref="AX433:BB433"/>
    <mergeCell ref="BS431:BX431"/>
    <mergeCell ref="A432:B432"/>
    <mergeCell ref="C432:E432"/>
    <mergeCell ref="F432:K432"/>
    <mergeCell ref="L432:AU432"/>
    <mergeCell ref="AV432:AW432"/>
    <mergeCell ref="AX432:BB432"/>
    <mergeCell ref="BC432:BJ432"/>
    <mergeCell ref="BK432:BR432"/>
    <mergeCell ref="BS432:BX432"/>
    <mergeCell ref="BK430:BR430"/>
    <mergeCell ref="BS430:BX430"/>
    <mergeCell ref="A431:B431"/>
    <mergeCell ref="C431:E431"/>
    <mergeCell ref="F431:K431"/>
    <mergeCell ref="L431:AU431"/>
    <mergeCell ref="AV431:AW431"/>
    <mergeCell ref="AX431:BB431"/>
    <mergeCell ref="BC431:BJ431"/>
    <mergeCell ref="BK431:BR431"/>
    <mergeCell ref="BC429:BJ429"/>
    <mergeCell ref="BK429:BR429"/>
    <mergeCell ref="BS429:BX429"/>
    <mergeCell ref="A430:B430"/>
    <mergeCell ref="C430:E430"/>
    <mergeCell ref="F430:K430"/>
    <mergeCell ref="L430:AU430"/>
    <mergeCell ref="AV430:AW430"/>
    <mergeCell ref="AX430:BB430"/>
    <mergeCell ref="BC430:BJ430"/>
    <mergeCell ref="BS427:BX427"/>
    <mergeCell ref="A428:K428"/>
    <mergeCell ref="L428:AU428"/>
    <mergeCell ref="AV428:BX428"/>
    <mergeCell ref="A429:B429"/>
    <mergeCell ref="C429:E429"/>
    <mergeCell ref="F429:K429"/>
    <mergeCell ref="L429:AU429"/>
    <mergeCell ref="AV429:AW429"/>
    <mergeCell ref="AX429:BB429"/>
    <mergeCell ref="BK426:BR426"/>
    <mergeCell ref="BS426:BX426"/>
    <mergeCell ref="A427:B427"/>
    <mergeCell ref="C427:E427"/>
    <mergeCell ref="F427:K427"/>
    <mergeCell ref="L427:AU427"/>
    <mergeCell ref="AV427:AW427"/>
    <mergeCell ref="AX427:BB427"/>
    <mergeCell ref="BC427:BJ427"/>
    <mergeCell ref="BK427:BR427"/>
    <mergeCell ref="BC425:BJ425"/>
    <mergeCell ref="BK425:BR425"/>
    <mergeCell ref="BS425:BX425"/>
    <mergeCell ref="A426:B426"/>
    <mergeCell ref="C426:E426"/>
    <mergeCell ref="F426:K426"/>
    <mergeCell ref="L426:AU426"/>
    <mergeCell ref="AV426:AW426"/>
    <mergeCell ref="AX426:BB426"/>
    <mergeCell ref="BC426:BJ426"/>
    <mergeCell ref="AX424:BB424"/>
    <mergeCell ref="BC424:BJ424"/>
    <mergeCell ref="BK424:BR424"/>
    <mergeCell ref="BS424:BX424"/>
    <mergeCell ref="A425:B425"/>
    <mergeCell ref="C425:E425"/>
    <mergeCell ref="F425:K425"/>
    <mergeCell ref="L425:AU425"/>
    <mergeCell ref="AV425:AW425"/>
    <mergeCell ref="AX425:BB425"/>
    <mergeCell ref="BK422:BR422"/>
    <mergeCell ref="BS422:BX422"/>
    <mergeCell ref="A423:K423"/>
    <mergeCell ref="L423:AU423"/>
    <mergeCell ref="AV423:BX423"/>
    <mergeCell ref="A424:B424"/>
    <mergeCell ref="C424:E424"/>
    <mergeCell ref="F424:K424"/>
    <mergeCell ref="L424:AU424"/>
    <mergeCell ref="AV424:AW424"/>
    <mergeCell ref="BC421:BJ421"/>
    <mergeCell ref="BK421:BR421"/>
    <mergeCell ref="BS421:BX421"/>
    <mergeCell ref="A422:B422"/>
    <mergeCell ref="C422:E422"/>
    <mergeCell ref="F422:K422"/>
    <mergeCell ref="L422:AU422"/>
    <mergeCell ref="AV422:AW422"/>
    <mergeCell ref="AX422:BB422"/>
    <mergeCell ref="BC422:BJ422"/>
    <mergeCell ref="A421:B421"/>
    <mergeCell ref="C421:E421"/>
    <mergeCell ref="F421:K421"/>
    <mergeCell ref="L421:AU421"/>
    <mergeCell ref="AV421:AW421"/>
    <mergeCell ref="AX421:BB421"/>
    <mergeCell ref="BS419:BX419"/>
    <mergeCell ref="A420:B420"/>
    <mergeCell ref="C420:E420"/>
    <mergeCell ref="F420:K420"/>
    <mergeCell ref="L420:AU420"/>
    <mergeCell ref="AV420:AW420"/>
    <mergeCell ref="AX420:BB420"/>
    <mergeCell ref="BC420:BJ420"/>
    <mergeCell ref="BK420:BR420"/>
    <mergeCell ref="BS420:BX420"/>
    <mergeCell ref="BK418:BR418"/>
    <mergeCell ref="BS418:BX418"/>
    <mergeCell ref="A419:B419"/>
    <mergeCell ref="C419:E419"/>
    <mergeCell ref="F419:K419"/>
    <mergeCell ref="L419:AU419"/>
    <mergeCell ref="AV419:AW419"/>
    <mergeCell ref="AX419:BB419"/>
    <mergeCell ref="BC419:BJ419"/>
    <mergeCell ref="BK419:BR419"/>
    <mergeCell ref="BC417:BJ417"/>
    <mergeCell ref="BK417:BR417"/>
    <mergeCell ref="BS417:BX417"/>
    <mergeCell ref="A418:B418"/>
    <mergeCell ref="C418:E418"/>
    <mergeCell ref="F418:K418"/>
    <mergeCell ref="L418:AU418"/>
    <mergeCell ref="AV418:AW418"/>
    <mergeCell ref="AX418:BB418"/>
    <mergeCell ref="BC418:BJ418"/>
    <mergeCell ref="A417:B417"/>
    <mergeCell ref="C417:E417"/>
    <mergeCell ref="F417:K417"/>
    <mergeCell ref="L417:AU417"/>
    <mergeCell ref="AV417:AW417"/>
    <mergeCell ref="AX417:BB417"/>
    <mergeCell ref="BS415:BX415"/>
    <mergeCell ref="A416:B416"/>
    <mergeCell ref="C416:E416"/>
    <mergeCell ref="F416:K416"/>
    <mergeCell ref="L416:AU416"/>
    <mergeCell ref="AV416:AW416"/>
    <mergeCell ref="AX416:BB416"/>
    <mergeCell ref="BC416:BJ416"/>
    <mergeCell ref="BK416:BR416"/>
    <mergeCell ref="BS416:BX416"/>
    <mergeCell ref="BK414:BR414"/>
    <mergeCell ref="BS414:BX414"/>
    <mergeCell ref="A415:B415"/>
    <mergeCell ref="C415:E415"/>
    <mergeCell ref="F415:K415"/>
    <mergeCell ref="L415:AU415"/>
    <mergeCell ref="AV415:AW415"/>
    <mergeCell ref="AX415:BB415"/>
    <mergeCell ref="BC415:BJ415"/>
    <mergeCell ref="BK415:BR415"/>
    <mergeCell ref="BC413:BJ413"/>
    <mergeCell ref="BK413:BR413"/>
    <mergeCell ref="BS413:BX413"/>
    <mergeCell ref="A414:B414"/>
    <mergeCell ref="C414:E414"/>
    <mergeCell ref="F414:K414"/>
    <mergeCell ref="L414:AU414"/>
    <mergeCell ref="AV414:AW414"/>
    <mergeCell ref="AX414:BB414"/>
    <mergeCell ref="BC414:BJ414"/>
    <mergeCell ref="A413:B413"/>
    <mergeCell ref="C413:E413"/>
    <mergeCell ref="F413:K413"/>
    <mergeCell ref="L413:AU413"/>
    <mergeCell ref="AV413:AW413"/>
    <mergeCell ref="AX413:BB413"/>
    <mergeCell ref="BC411:BJ411"/>
    <mergeCell ref="BK411:BR411"/>
    <mergeCell ref="BS411:BX411"/>
    <mergeCell ref="A412:K412"/>
    <mergeCell ref="L412:AU412"/>
    <mergeCell ref="AV412:BX412"/>
    <mergeCell ref="BS409:BX409"/>
    <mergeCell ref="A410:K410"/>
    <mergeCell ref="L410:AU410"/>
    <mergeCell ref="AV410:BX410"/>
    <mergeCell ref="A411:B411"/>
    <mergeCell ref="C411:E411"/>
    <mergeCell ref="F411:K411"/>
    <mergeCell ref="L411:AU411"/>
    <mergeCell ref="AV411:AW411"/>
    <mergeCell ref="AX411:BB411"/>
    <mergeCell ref="BK408:BR408"/>
    <mergeCell ref="BS408:BX408"/>
    <mergeCell ref="A409:B409"/>
    <mergeCell ref="C409:E409"/>
    <mergeCell ref="F409:K409"/>
    <mergeCell ref="L409:AU409"/>
    <mergeCell ref="AV409:AW409"/>
    <mergeCell ref="AX409:BB409"/>
    <mergeCell ref="BC409:BJ409"/>
    <mergeCell ref="BK409:BR409"/>
    <mergeCell ref="BC407:BJ407"/>
    <mergeCell ref="BK407:BR407"/>
    <mergeCell ref="BS407:BX407"/>
    <mergeCell ref="A408:B408"/>
    <mergeCell ref="C408:E408"/>
    <mergeCell ref="F408:K408"/>
    <mergeCell ref="L408:AU408"/>
    <mergeCell ref="AV408:AW408"/>
    <mergeCell ref="AX408:BB408"/>
    <mergeCell ref="BC408:BJ408"/>
    <mergeCell ref="A407:B407"/>
    <mergeCell ref="C407:E407"/>
    <mergeCell ref="F407:K407"/>
    <mergeCell ref="L407:AU407"/>
    <mergeCell ref="AV407:AW407"/>
    <mergeCell ref="AX407:BB407"/>
    <mergeCell ref="BC405:BJ405"/>
    <mergeCell ref="BK405:BR405"/>
    <mergeCell ref="BS405:BX405"/>
    <mergeCell ref="A406:K406"/>
    <mergeCell ref="L406:AU406"/>
    <mergeCell ref="AV406:BX406"/>
    <mergeCell ref="A405:B405"/>
    <mergeCell ref="C405:E405"/>
    <mergeCell ref="F405:K405"/>
    <mergeCell ref="L405:AU405"/>
    <mergeCell ref="AV405:AW405"/>
    <mergeCell ref="AX405:BB405"/>
    <mergeCell ref="BC403:BJ403"/>
    <mergeCell ref="BK403:BR403"/>
    <mergeCell ref="BS403:BX403"/>
    <mergeCell ref="A404:K404"/>
    <mergeCell ref="L404:AU404"/>
    <mergeCell ref="AV404:BX404"/>
    <mergeCell ref="A403:B403"/>
    <mergeCell ref="C403:E403"/>
    <mergeCell ref="F403:K403"/>
    <mergeCell ref="L403:AU403"/>
    <mergeCell ref="AV403:AW403"/>
    <mergeCell ref="AX403:BB403"/>
    <mergeCell ref="BC401:BJ401"/>
    <mergeCell ref="BK401:BR401"/>
    <mergeCell ref="BS401:BX401"/>
    <mergeCell ref="A402:K402"/>
    <mergeCell ref="L402:AU402"/>
    <mergeCell ref="AV402:BX402"/>
    <mergeCell ref="A401:B401"/>
    <mergeCell ref="C401:E401"/>
    <mergeCell ref="F401:K401"/>
    <mergeCell ref="L401:AU401"/>
    <mergeCell ref="AV401:AW401"/>
    <mergeCell ref="AX401:BB401"/>
    <mergeCell ref="BC399:BJ399"/>
    <mergeCell ref="BK399:BR399"/>
    <mergeCell ref="BS399:BX399"/>
    <mergeCell ref="A400:K400"/>
    <mergeCell ref="L400:AU400"/>
    <mergeCell ref="AV400:BX400"/>
    <mergeCell ref="A399:B399"/>
    <mergeCell ref="C399:E399"/>
    <mergeCell ref="F399:K399"/>
    <mergeCell ref="L399:AU399"/>
    <mergeCell ref="AV399:AW399"/>
    <mergeCell ref="AX399:BB399"/>
    <mergeCell ref="BC397:BJ397"/>
    <mergeCell ref="BK397:BR397"/>
    <mergeCell ref="BS397:BX397"/>
    <mergeCell ref="A398:K398"/>
    <mergeCell ref="L398:AU398"/>
    <mergeCell ref="AV398:BX398"/>
    <mergeCell ref="A397:B397"/>
    <mergeCell ref="C397:E397"/>
    <mergeCell ref="F397:K397"/>
    <mergeCell ref="L397:AU397"/>
    <mergeCell ref="AV397:AW397"/>
    <mergeCell ref="AX397:BB397"/>
    <mergeCell ref="BC395:BJ395"/>
    <mergeCell ref="BK395:BR395"/>
    <mergeCell ref="BS395:BX395"/>
    <mergeCell ref="A396:K396"/>
    <mergeCell ref="L396:AU396"/>
    <mergeCell ref="AV396:BX396"/>
    <mergeCell ref="A395:B395"/>
    <mergeCell ref="C395:E395"/>
    <mergeCell ref="F395:K395"/>
    <mergeCell ref="L395:AU395"/>
    <mergeCell ref="AV395:AW395"/>
    <mergeCell ref="AX395:BB395"/>
    <mergeCell ref="BC393:BJ393"/>
    <mergeCell ref="BK393:BR393"/>
    <mergeCell ref="BS393:BX393"/>
    <mergeCell ref="A394:K394"/>
    <mergeCell ref="L394:AU394"/>
    <mergeCell ref="AV394:BX394"/>
    <mergeCell ref="BS391:BX391"/>
    <mergeCell ref="A392:K392"/>
    <mergeCell ref="L392:AU392"/>
    <mergeCell ref="AV392:BX392"/>
    <mergeCell ref="A393:B393"/>
    <mergeCell ref="C393:E393"/>
    <mergeCell ref="F393:K393"/>
    <mergeCell ref="L393:AU393"/>
    <mergeCell ref="AV393:AW393"/>
    <mergeCell ref="AX393:BB393"/>
    <mergeCell ref="BK390:BR390"/>
    <mergeCell ref="BS390:BX390"/>
    <mergeCell ref="A391:B391"/>
    <mergeCell ref="C391:E391"/>
    <mergeCell ref="F391:K391"/>
    <mergeCell ref="L391:AU391"/>
    <mergeCell ref="AV391:AW391"/>
    <mergeCell ref="AX391:BB391"/>
    <mergeCell ref="BC391:BJ391"/>
    <mergeCell ref="BK391:BR391"/>
    <mergeCell ref="BC389:BJ389"/>
    <mergeCell ref="BK389:BR389"/>
    <mergeCell ref="BS389:BX389"/>
    <mergeCell ref="A390:B390"/>
    <mergeCell ref="C390:E390"/>
    <mergeCell ref="F390:K390"/>
    <mergeCell ref="L390:AU390"/>
    <mergeCell ref="AV390:AW390"/>
    <mergeCell ref="AX390:BB390"/>
    <mergeCell ref="BC390:BJ390"/>
    <mergeCell ref="A389:B389"/>
    <mergeCell ref="C389:E389"/>
    <mergeCell ref="F389:K389"/>
    <mergeCell ref="L389:AU389"/>
    <mergeCell ref="AV389:AW389"/>
    <mergeCell ref="AX389:BB389"/>
    <mergeCell ref="BC387:BJ387"/>
    <mergeCell ref="BK387:BR387"/>
    <mergeCell ref="BS387:BX387"/>
    <mergeCell ref="A388:K388"/>
    <mergeCell ref="L388:AU388"/>
    <mergeCell ref="AV388:BX388"/>
    <mergeCell ref="BS385:BX385"/>
    <mergeCell ref="A386:K386"/>
    <mergeCell ref="L386:AU386"/>
    <mergeCell ref="AV386:BX386"/>
    <mergeCell ref="A387:B387"/>
    <mergeCell ref="C387:E387"/>
    <mergeCell ref="F387:K387"/>
    <mergeCell ref="L387:AU387"/>
    <mergeCell ref="AV387:AW387"/>
    <mergeCell ref="AX387:BB387"/>
    <mergeCell ref="BK384:BR384"/>
    <mergeCell ref="BS384:BX384"/>
    <mergeCell ref="A385:B385"/>
    <mergeCell ref="C385:E385"/>
    <mergeCell ref="F385:K385"/>
    <mergeCell ref="L385:AU385"/>
    <mergeCell ref="AV385:AW385"/>
    <mergeCell ref="AX385:BB385"/>
    <mergeCell ref="BC385:BJ385"/>
    <mergeCell ref="BK385:BR385"/>
    <mergeCell ref="BC383:BJ383"/>
    <mergeCell ref="BK383:BR383"/>
    <mergeCell ref="BS383:BX383"/>
    <mergeCell ref="A384:B384"/>
    <mergeCell ref="C384:E384"/>
    <mergeCell ref="F384:K384"/>
    <mergeCell ref="L384:AU384"/>
    <mergeCell ref="AV384:AW384"/>
    <mergeCell ref="AX384:BB384"/>
    <mergeCell ref="BC384:BJ384"/>
    <mergeCell ref="A383:B383"/>
    <mergeCell ref="C383:E383"/>
    <mergeCell ref="F383:K383"/>
    <mergeCell ref="L383:AU383"/>
    <mergeCell ref="AV383:AW383"/>
    <mergeCell ref="AX383:BB383"/>
    <mergeCell ref="BS381:BX381"/>
    <mergeCell ref="A382:B382"/>
    <mergeCell ref="C382:E382"/>
    <mergeCell ref="F382:K382"/>
    <mergeCell ref="L382:AU382"/>
    <mergeCell ref="AV382:AW382"/>
    <mergeCell ref="AX382:BB382"/>
    <mergeCell ref="BC382:BJ382"/>
    <mergeCell ref="BK382:BR382"/>
    <mergeCell ref="BS382:BX382"/>
    <mergeCell ref="BK380:BR380"/>
    <mergeCell ref="BS380:BX380"/>
    <mergeCell ref="A381:B381"/>
    <mergeCell ref="C381:E381"/>
    <mergeCell ref="F381:K381"/>
    <mergeCell ref="L381:AU381"/>
    <mergeCell ref="AV381:AW381"/>
    <mergeCell ref="AX381:BB381"/>
    <mergeCell ref="BC381:BJ381"/>
    <mergeCell ref="BK381:BR381"/>
    <mergeCell ref="BC379:BJ379"/>
    <mergeCell ref="BK379:BR379"/>
    <mergeCell ref="BS379:BX379"/>
    <mergeCell ref="A380:B380"/>
    <mergeCell ref="C380:E380"/>
    <mergeCell ref="F380:K380"/>
    <mergeCell ref="L380:AU380"/>
    <mergeCell ref="AV380:AW380"/>
    <mergeCell ref="AX380:BB380"/>
    <mergeCell ref="BC380:BJ380"/>
    <mergeCell ref="BS377:BX377"/>
    <mergeCell ref="A378:K378"/>
    <mergeCell ref="L378:AU378"/>
    <mergeCell ref="AV378:BX378"/>
    <mergeCell ref="A379:B379"/>
    <mergeCell ref="C379:E379"/>
    <mergeCell ref="F379:K379"/>
    <mergeCell ref="L379:AU379"/>
    <mergeCell ref="AV379:AW379"/>
    <mergeCell ref="AX379:BB379"/>
    <mergeCell ref="BK376:BR376"/>
    <mergeCell ref="BS376:BX376"/>
    <mergeCell ref="A377:B377"/>
    <mergeCell ref="C377:E377"/>
    <mergeCell ref="F377:K377"/>
    <mergeCell ref="L377:AU377"/>
    <mergeCell ref="AV377:AW377"/>
    <mergeCell ref="AX377:BB377"/>
    <mergeCell ref="BC377:BJ377"/>
    <mergeCell ref="BK377:BR377"/>
    <mergeCell ref="A375:K375"/>
    <mergeCell ref="L375:AU375"/>
    <mergeCell ref="AV375:BX375"/>
    <mergeCell ref="A376:B376"/>
    <mergeCell ref="C376:E376"/>
    <mergeCell ref="F376:K376"/>
    <mergeCell ref="L376:AU376"/>
    <mergeCell ref="AV376:AW376"/>
    <mergeCell ref="AX376:BB376"/>
    <mergeCell ref="BC376:BJ376"/>
    <mergeCell ref="BS373:BX373"/>
    <mergeCell ref="A374:B374"/>
    <mergeCell ref="C374:E374"/>
    <mergeCell ref="F374:K374"/>
    <mergeCell ref="L374:AU374"/>
    <mergeCell ref="AV374:AW374"/>
    <mergeCell ref="AX374:BB374"/>
    <mergeCell ref="BC374:BJ374"/>
    <mergeCell ref="BK374:BR374"/>
    <mergeCell ref="BS374:BX374"/>
    <mergeCell ref="BK372:BR372"/>
    <mergeCell ref="BS372:BX372"/>
    <mergeCell ref="A373:B373"/>
    <mergeCell ref="C373:E373"/>
    <mergeCell ref="F373:K373"/>
    <mergeCell ref="L373:AU373"/>
    <mergeCell ref="AV373:AW373"/>
    <mergeCell ref="AX373:BB373"/>
    <mergeCell ref="BC373:BJ373"/>
    <mergeCell ref="BK373:BR373"/>
    <mergeCell ref="BC371:BJ371"/>
    <mergeCell ref="BK371:BR371"/>
    <mergeCell ref="BS371:BX371"/>
    <mergeCell ref="A372:B372"/>
    <mergeCell ref="C372:E372"/>
    <mergeCell ref="F372:K372"/>
    <mergeCell ref="L372:AU372"/>
    <mergeCell ref="AV372:AW372"/>
    <mergeCell ref="AX372:BB372"/>
    <mergeCell ref="BC372:BJ372"/>
    <mergeCell ref="A371:B371"/>
    <mergeCell ref="C371:E371"/>
    <mergeCell ref="F371:K371"/>
    <mergeCell ref="L371:AU371"/>
    <mergeCell ref="AV371:AW371"/>
    <mergeCell ref="AX371:BB371"/>
    <mergeCell ref="BS369:BX369"/>
    <mergeCell ref="A370:B370"/>
    <mergeCell ref="C370:E370"/>
    <mergeCell ref="F370:K370"/>
    <mergeCell ref="L370:AU370"/>
    <mergeCell ref="AV370:AW370"/>
    <mergeCell ref="AX370:BB370"/>
    <mergeCell ref="BC370:BJ370"/>
    <mergeCell ref="BK370:BR370"/>
    <mergeCell ref="BS370:BX370"/>
    <mergeCell ref="BK368:BR368"/>
    <mergeCell ref="BS368:BX368"/>
    <mergeCell ref="A369:B369"/>
    <mergeCell ref="C369:E369"/>
    <mergeCell ref="F369:K369"/>
    <mergeCell ref="L369:AU369"/>
    <mergeCell ref="AV369:AW369"/>
    <mergeCell ref="AX369:BB369"/>
    <mergeCell ref="BC369:BJ369"/>
    <mergeCell ref="BK369:BR369"/>
    <mergeCell ref="BC367:BJ367"/>
    <mergeCell ref="BK367:BR367"/>
    <mergeCell ref="BS367:BX367"/>
    <mergeCell ref="A368:B368"/>
    <mergeCell ref="C368:E368"/>
    <mergeCell ref="F368:K368"/>
    <mergeCell ref="L368:AU368"/>
    <mergeCell ref="AV368:AW368"/>
    <mergeCell ref="AX368:BB368"/>
    <mergeCell ref="BC368:BJ368"/>
    <mergeCell ref="A367:B367"/>
    <mergeCell ref="C367:E367"/>
    <mergeCell ref="F367:K367"/>
    <mergeCell ref="L367:AU367"/>
    <mergeCell ref="AV367:AW367"/>
    <mergeCell ref="AX367:BB367"/>
    <mergeCell ref="BS365:BX365"/>
    <mergeCell ref="A366:B366"/>
    <mergeCell ref="C366:E366"/>
    <mergeCell ref="F366:K366"/>
    <mergeCell ref="L366:AU366"/>
    <mergeCell ref="AV366:AW366"/>
    <mergeCell ref="AX366:BB366"/>
    <mergeCell ref="BC366:BJ366"/>
    <mergeCell ref="BK366:BR366"/>
    <mergeCell ref="BS366:BX366"/>
    <mergeCell ref="BK364:BR364"/>
    <mergeCell ref="BS364:BX364"/>
    <mergeCell ref="A365:B365"/>
    <mergeCell ref="C365:E365"/>
    <mergeCell ref="F365:K365"/>
    <mergeCell ref="L365:AU365"/>
    <mergeCell ref="AV365:AW365"/>
    <mergeCell ref="AX365:BB365"/>
    <mergeCell ref="BC365:BJ365"/>
    <mergeCell ref="BK365:BR365"/>
    <mergeCell ref="BC363:BJ363"/>
    <mergeCell ref="BK363:BR363"/>
    <mergeCell ref="BS363:BX363"/>
    <mergeCell ref="A364:B364"/>
    <mergeCell ref="C364:E364"/>
    <mergeCell ref="F364:K364"/>
    <mergeCell ref="L364:AU364"/>
    <mergeCell ref="AV364:AW364"/>
    <mergeCell ref="AX364:BB364"/>
    <mergeCell ref="BC364:BJ364"/>
    <mergeCell ref="A363:B363"/>
    <mergeCell ref="C363:E363"/>
    <mergeCell ref="F363:K363"/>
    <mergeCell ref="L363:AU363"/>
    <mergeCell ref="AV363:AW363"/>
    <mergeCell ref="AX363:BB363"/>
    <mergeCell ref="A362:K362"/>
    <mergeCell ref="L362:AU362"/>
    <mergeCell ref="AV362:BX362"/>
    <mergeCell ref="A361:B361"/>
    <mergeCell ref="C361:E361"/>
    <mergeCell ref="F361:K361"/>
    <mergeCell ref="L361:AU361"/>
    <mergeCell ref="AV361:AW361"/>
    <mergeCell ref="AX361:BB361"/>
    <mergeCell ref="A360:K360"/>
    <mergeCell ref="L360:AU360"/>
    <mergeCell ref="AV360:BX360"/>
    <mergeCell ref="A359:B359"/>
    <mergeCell ref="C359:E359"/>
    <mergeCell ref="F359:K359"/>
    <mergeCell ref="L359:AU359"/>
    <mergeCell ref="BC361:BJ361"/>
    <mergeCell ref="BK361:BR361"/>
    <mergeCell ref="AX358:BB358"/>
    <mergeCell ref="BC358:BJ358"/>
    <mergeCell ref="BK358:BR358"/>
    <mergeCell ref="BS358:BX358"/>
    <mergeCell ref="BC359:BJ359"/>
    <mergeCell ref="BK359:BR359"/>
    <mergeCell ref="BS359:BX359"/>
    <mergeCell ref="BS361:BX361"/>
    <mergeCell ref="AV359:AW359"/>
    <mergeCell ref="AX359:BB359"/>
    <mergeCell ref="BK356:BR356"/>
    <mergeCell ref="BS356:BX356"/>
    <mergeCell ref="A357:K357"/>
    <mergeCell ref="L357:AU357"/>
    <mergeCell ref="AV357:BX357"/>
    <mergeCell ref="A358:B358"/>
    <mergeCell ref="C358:E358"/>
    <mergeCell ref="F358:K358"/>
    <mergeCell ref="L358:AU358"/>
    <mergeCell ref="AV358:AW358"/>
    <mergeCell ref="BC355:BJ355"/>
    <mergeCell ref="BK355:BR355"/>
    <mergeCell ref="BS355:BX355"/>
    <mergeCell ref="A356:B356"/>
    <mergeCell ref="C356:E356"/>
    <mergeCell ref="F356:K356"/>
    <mergeCell ref="L356:AU356"/>
    <mergeCell ref="AV356:AW356"/>
    <mergeCell ref="AX356:BB356"/>
    <mergeCell ref="BC356:BJ356"/>
    <mergeCell ref="A355:B355"/>
    <mergeCell ref="C355:E355"/>
    <mergeCell ref="F355:K355"/>
    <mergeCell ref="L355:AU355"/>
    <mergeCell ref="AV355:AW355"/>
    <mergeCell ref="AX355:BB355"/>
    <mergeCell ref="BS353:BX353"/>
    <mergeCell ref="A354:B354"/>
    <mergeCell ref="C354:E354"/>
    <mergeCell ref="F354:K354"/>
    <mergeCell ref="L354:AU354"/>
    <mergeCell ref="AV354:AW354"/>
    <mergeCell ref="AX354:BB354"/>
    <mergeCell ref="BC354:BJ354"/>
    <mergeCell ref="BK354:BR354"/>
    <mergeCell ref="BS354:BX354"/>
    <mergeCell ref="BK352:BR352"/>
    <mergeCell ref="BS352:BX352"/>
    <mergeCell ref="A353:B353"/>
    <mergeCell ref="C353:E353"/>
    <mergeCell ref="F353:K353"/>
    <mergeCell ref="L353:AU353"/>
    <mergeCell ref="AV353:AW353"/>
    <mergeCell ref="AX353:BB353"/>
    <mergeCell ref="BC353:BJ353"/>
    <mergeCell ref="BK353:BR353"/>
    <mergeCell ref="BC351:BJ351"/>
    <mergeCell ref="BK351:BR351"/>
    <mergeCell ref="BS351:BX351"/>
    <mergeCell ref="A352:B352"/>
    <mergeCell ref="C352:E352"/>
    <mergeCell ref="F352:K352"/>
    <mergeCell ref="L352:AU352"/>
    <mergeCell ref="AV352:AW352"/>
    <mergeCell ref="AX352:BB352"/>
    <mergeCell ref="BC352:BJ352"/>
    <mergeCell ref="A351:B351"/>
    <mergeCell ref="C351:E351"/>
    <mergeCell ref="F351:K351"/>
    <mergeCell ref="L351:AU351"/>
    <mergeCell ref="AV351:AW351"/>
    <mergeCell ref="AX351:BB351"/>
    <mergeCell ref="BS349:BX349"/>
    <mergeCell ref="A350:B350"/>
    <mergeCell ref="C350:E350"/>
    <mergeCell ref="F350:K350"/>
    <mergeCell ref="L350:AU350"/>
    <mergeCell ref="AV350:AW350"/>
    <mergeCell ref="AX350:BB350"/>
    <mergeCell ref="BC350:BJ350"/>
    <mergeCell ref="BK350:BR350"/>
    <mergeCell ref="BS350:BX350"/>
    <mergeCell ref="BK348:BR348"/>
    <mergeCell ref="BS348:BX348"/>
    <mergeCell ref="A349:B349"/>
    <mergeCell ref="C349:E349"/>
    <mergeCell ref="F349:K349"/>
    <mergeCell ref="L349:AU349"/>
    <mergeCell ref="AV349:AW349"/>
    <mergeCell ref="AX349:BB349"/>
    <mergeCell ref="BC349:BJ349"/>
    <mergeCell ref="BK349:BR349"/>
    <mergeCell ref="BC347:BJ347"/>
    <mergeCell ref="BK347:BR347"/>
    <mergeCell ref="BS347:BX347"/>
    <mergeCell ref="A348:B348"/>
    <mergeCell ref="C348:E348"/>
    <mergeCell ref="F348:K348"/>
    <mergeCell ref="L348:AU348"/>
    <mergeCell ref="AV348:AW348"/>
    <mergeCell ref="AX348:BB348"/>
    <mergeCell ref="BC348:BJ348"/>
    <mergeCell ref="A347:B347"/>
    <mergeCell ref="C347:E347"/>
    <mergeCell ref="F347:K347"/>
    <mergeCell ref="L347:AU347"/>
    <mergeCell ref="AV347:AW347"/>
    <mergeCell ref="AX347:BB347"/>
    <mergeCell ref="BS345:BX345"/>
    <mergeCell ref="A346:B346"/>
    <mergeCell ref="C346:E346"/>
    <mergeCell ref="F346:K346"/>
    <mergeCell ref="L346:AU346"/>
    <mergeCell ref="AV346:AW346"/>
    <mergeCell ref="AX346:BB346"/>
    <mergeCell ref="BC346:BJ346"/>
    <mergeCell ref="BK346:BR346"/>
    <mergeCell ref="BS346:BX346"/>
    <mergeCell ref="BK344:BR344"/>
    <mergeCell ref="BS344:BX344"/>
    <mergeCell ref="A345:B345"/>
    <mergeCell ref="C345:E345"/>
    <mergeCell ref="F345:K345"/>
    <mergeCell ref="L345:AU345"/>
    <mergeCell ref="AV345:AW345"/>
    <mergeCell ref="AX345:BB345"/>
    <mergeCell ref="BC345:BJ345"/>
    <mergeCell ref="BK345:BR345"/>
    <mergeCell ref="BC343:BJ343"/>
    <mergeCell ref="BK343:BR343"/>
    <mergeCell ref="BS343:BX343"/>
    <mergeCell ref="A344:B344"/>
    <mergeCell ref="C344:E344"/>
    <mergeCell ref="F344:K344"/>
    <mergeCell ref="L344:AU344"/>
    <mergeCell ref="AV344:AW344"/>
    <mergeCell ref="AX344:BB344"/>
    <mergeCell ref="BC344:BJ344"/>
    <mergeCell ref="A343:B343"/>
    <mergeCell ref="C343:E343"/>
    <mergeCell ref="F343:K343"/>
    <mergeCell ref="L343:AU343"/>
    <mergeCell ref="AV343:AW343"/>
    <mergeCell ref="AX343:BB343"/>
    <mergeCell ref="BS341:BX341"/>
    <mergeCell ref="A342:B342"/>
    <mergeCell ref="C342:E342"/>
    <mergeCell ref="F342:K342"/>
    <mergeCell ref="L342:AU342"/>
    <mergeCell ref="AV342:AW342"/>
    <mergeCell ref="AX342:BB342"/>
    <mergeCell ref="BC342:BJ342"/>
    <mergeCell ref="BK342:BR342"/>
    <mergeCell ref="BS342:BX342"/>
    <mergeCell ref="BK340:BR340"/>
    <mergeCell ref="BS340:BX340"/>
    <mergeCell ref="A341:B341"/>
    <mergeCell ref="C341:E341"/>
    <mergeCell ref="F341:K341"/>
    <mergeCell ref="L341:AU341"/>
    <mergeCell ref="AV341:AW341"/>
    <mergeCell ref="AX341:BB341"/>
    <mergeCell ref="BC341:BJ341"/>
    <mergeCell ref="BK341:BR341"/>
    <mergeCell ref="BC339:BJ339"/>
    <mergeCell ref="BK339:BR339"/>
    <mergeCell ref="BS339:BX339"/>
    <mergeCell ref="A340:B340"/>
    <mergeCell ref="C340:E340"/>
    <mergeCell ref="F340:K340"/>
    <mergeCell ref="L340:AU340"/>
    <mergeCell ref="AV340:AW340"/>
    <mergeCell ref="AX340:BB340"/>
    <mergeCell ref="BC340:BJ340"/>
    <mergeCell ref="A339:B339"/>
    <mergeCell ref="C339:E339"/>
    <mergeCell ref="F339:K339"/>
    <mergeCell ref="L339:AU339"/>
    <mergeCell ref="AV339:AW339"/>
    <mergeCell ref="AX339:BB339"/>
    <mergeCell ref="BS337:BX337"/>
    <mergeCell ref="A338:B338"/>
    <mergeCell ref="C338:E338"/>
    <mergeCell ref="F338:K338"/>
    <mergeCell ref="L338:AU338"/>
    <mergeCell ref="AV338:AW338"/>
    <mergeCell ref="AX338:BB338"/>
    <mergeCell ref="BC338:BJ338"/>
    <mergeCell ref="BK338:BR338"/>
    <mergeCell ref="BS338:BX338"/>
    <mergeCell ref="BK336:BR336"/>
    <mergeCell ref="BS336:BX336"/>
    <mergeCell ref="A337:B337"/>
    <mergeCell ref="C337:E337"/>
    <mergeCell ref="F337:K337"/>
    <mergeCell ref="L337:AU337"/>
    <mergeCell ref="AV337:AW337"/>
    <mergeCell ref="AX337:BB337"/>
    <mergeCell ref="BC337:BJ337"/>
    <mergeCell ref="BK337:BR337"/>
    <mergeCell ref="BC335:BJ335"/>
    <mergeCell ref="BK335:BR335"/>
    <mergeCell ref="BS335:BX335"/>
    <mergeCell ref="A336:B336"/>
    <mergeCell ref="C336:E336"/>
    <mergeCell ref="F336:K336"/>
    <mergeCell ref="L336:AU336"/>
    <mergeCell ref="AV336:AW336"/>
    <mergeCell ref="AX336:BB336"/>
    <mergeCell ref="BC336:BJ336"/>
    <mergeCell ref="A335:B335"/>
    <mergeCell ref="C335:E335"/>
    <mergeCell ref="F335:K335"/>
    <mergeCell ref="L335:AU335"/>
    <mergeCell ref="AV335:AW335"/>
    <mergeCell ref="AX335:BB335"/>
    <mergeCell ref="BS333:BX333"/>
    <mergeCell ref="A334:B334"/>
    <mergeCell ref="C334:E334"/>
    <mergeCell ref="F334:K334"/>
    <mergeCell ref="L334:AU334"/>
    <mergeCell ref="AV334:AW334"/>
    <mergeCell ref="AX334:BB334"/>
    <mergeCell ref="BC334:BJ334"/>
    <mergeCell ref="BK334:BR334"/>
    <mergeCell ref="BS334:BX334"/>
    <mergeCell ref="BK332:BR332"/>
    <mergeCell ref="BS332:BX332"/>
    <mergeCell ref="A333:B333"/>
    <mergeCell ref="C333:E333"/>
    <mergeCell ref="F333:K333"/>
    <mergeCell ref="L333:AU333"/>
    <mergeCell ref="AV333:AW333"/>
    <mergeCell ref="AX333:BB333"/>
    <mergeCell ref="BC333:BJ333"/>
    <mergeCell ref="BK333:BR333"/>
    <mergeCell ref="BC331:BJ331"/>
    <mergeCell ref="BK331:BR331"/>
    <mergeCell ref="BS331:BX331"/>
    <mergeCell ref="A332:B332"/>
    <mergeCell ref="C332:E332"/>
    <mergeCell ref="F332:K332"/>
    <mergeCell ref="L332:AU332"/>
    <mergeCell ref="AV332:AW332"/>
    <mergeCell ref="AX332:BB332"/>
    <mergeCell ref="BC332:BJ332"/>
    <mergeCell ref="A331:B331"/>
    <mergeCell ref="C331:E331"/>
    <mergeCell ref="F331:K331"/>
    <mergeCell ref="L331:AU331"/>
    <mergeCell ref="AV331:AW331"/>
    <mergeCell ref="AX331:BB331"/>
    <mergeCell ref="BS329:BX329"/>
    <mergeCell ref="A330:B330"/>
    <mergeCell ref="C330:E330"/>
    <mergeCell ref="F330:K330"/>
    <mergeCell ref="L330:AU330"/>
    <mergeCell ref="AV330:AW330"/>
    <mergeCell ref="AX330:BB330"/>
    <mergeCell ref="BC330:BJ330"/>
    <mergeCell ref="BK330:BR330"/>
    <mergeCell ref="BS330:BX330"/>
    <mergeCell ref="BK328:BR328"/>
    <mergeCell ref="BS328:BX328"/>
    <mergeCell ref="A329:B329"/>
    <mergeCell ref="C329:E329"/>
    <mergeCell ref="F329:K329"/>
    <mergeCell ref="L329:AU329"/>
    <mergeCell ref="AV329:AW329"/>
    <mergeCell ref="AX329:BB329"/>
    <mergeCell ref="BC329:BJ329"/>
    <mergeCell ref="BK329:BR329"/>
    <mergeCell ref="BC327:BJ327"/>
    <mergeCell ref="BK327:BR327"/>
    <mergeCell ref="BS327:BX327"/>
    <mergeCell ref="A328:B328"/>
    <mergeCell ref="C328:E328"/>
    <mergeCell ref="F328:K328"/>
    <mergeCell ref="L328:AU328"/>
    <mergeCell ref="AV328:AW328"/>
    <mergeCell ref="AX328:BB328"/>
    <mergeCell ref="BC328:BJ328"/>
    <mergeCell ref="A327:B327"/>
    <mergeCell ref="C327:E327"/>
    <mergeCell ref="F327:K327"/>
    <mergeCell ref="L327:AU327"/>
    <mergeCell ref="AV327:AW327"/>
    <mergeCell ref="AX327:BB327"/>
    <mergeCell ref="BS325:BX325"/>
    <mergeCell ref="A326:B326"/>
    <mergeCell ref="C326:E326"/>
    <mergeCell ref="F326:K326"/>
    <mergeCell ref="L326:AU326"/>
    <mergeCell ref="AV326:AW326"/>
    <mergeCell ref="AX326:BB326"/>
    <mergeCell ref="BC326:BJ326"/>
    <mergeCell ref="BK326:BR326"/>
    <mergeCell ref="BS326:BX326"/>
    <mergeCell ref="BK324:BR324"/>
    <mergeCell ref="BS324:BX324"/>
    <mergeCell ref="A325:B325"/>
    <mergeCell ref="C325:E325"/>
    <mergeCell ref="F325:K325"/>
    <mergeCell ref="L325:AU325"/>
    <mergeCell ref="AV325:AW325"/>
    <mergeCell ref="AX325:BB325"/>
    <mergeCell ref="BC325:BJ325"/>
    <mergeCell ref="BK325:BR325"/>
    <mergeCell ref="BC323:BJ323"/>
    <mergeCell ref="BK323:BR323"/>
    <mergeCell ref="BS323:BX323"/>
    <mergeCell ref="A324:B324"/>
    <mergeCell ref="C324:E324"/>
    <mergeCell ref="F324:K324"/>
    <mergeCell ref="L324:AU324"/>
    <mergeCell ref="AV324:AW324"/>
    <mergeCell ref="AX324:BB324"/>
    <mergeCell ref="BC324:BJ324"/>
    <mergeCell ref="A323:B323"/>
    <mergeCell ref="C323:E323"/>
    <mergeCell ref="F323:K323"/>
    <mergeCell ref="L323:AU323"/>
    <mergeCell ref="AV323:AW323"/>
    <mergeCell ref="AX323:BB323"/>
    <mergeCell ref="BS321:BX321"/>
    <mergeCell ref="A322:B322"/>
    <mergeCell ref="C322:E322"/>
    <mergeCell ref="F322:K322"/>
    <mergeCell ref="L322:AU322"/>
    <mergeCell ref="AV322:AW322"/>
    <mergeCell ref="AX322:BB322"/>
    <mergeCell ref="BC322:BJ322"/>
    <mergeCell ref="BK322:BR322"/>
    <mergeCell ref="BS322:BX322"/>
    <mergeCell ref="BK320:BR320"/>
    <mergeCell ref="BS320:BX320"/>
    <mergeCell ref="A321:B321"/>
    <mergeCell ref="C321:E321"/>
    <mergeCell ref="F321:K321"/>
    <mergeCell ref="L321:AU321"/>
    <mergeCell ref="AV321:AW321"/>
    <mergeCell ref="AX321:BB321"/>
    <mergeCell ref="BC321:BJ321"/>
    <mergeCell ref="BK321:BR321"/>
    <mergeCell ref="BC319:BJ319"/>
    <mergeCell ref="BK319:BR319"/>
    <mergeCell ref="BS319:BX319"/>
    <mergeCell ref="A320:B320"/>
    <mergeCell ref="C320:E320"/>
    <mergeCell ref="F320:K320"/>
    <mergeCell ref="L320:AU320"/>
    <mergeCell ref="AV320:AW320"/>
    <mergeCell ref="AX320:BB320"/>
    <mergeCell ref="BC320:BJ320"/>
    <mergeCell ref="A319:B319"/>
    <mergeCell ref="C319:E319"/>
    <mergeCell ref="F319:K319"/>
    <mergeCell ref="L319:AU319"/>
    <mergeCell ref="AV319:AW319"/>
    <mergeCell ref="AX319:BB319"/>
    <mergeCell ref="BS317:BX317"/>
    <mergeCell ref="A318:B318"/>
    <mergeCell ref="C318:E318"/>
    <mergeCell ref="F318:K318"/>
    <mergeCell ref="L318:AU318"/>
    <mergeCell ref="AV318:AW318"/>
    <mergeCell ref="AX318:BB318"/>
    <mergeCell ref="BC318:BJ318"/>
    <mergeCell ref="BK318:BR318"/>
    <mergeCell ref="BS318:BX318"/>
    <mergeCell ref="BK316:BR316"/>
    <mergeCell ref="BS316:BX316"/>
    <mergeCell ref="A317:B317"/>
    <mergeCell ref="C317:E317"/>
    <mergeCell ref="F317:K317"/>
    <mergeCell ref="L317:AU317"/>
    <mergeCell ref="AV317:AW317"/>
    <mergeCell ref="AX317:BB317"/>
    <mergeCell ref="BC317:BJ317"/>
    <mergeCell ref="BK317:BR317"/>
    <mergeCell ref="BC315:BJ315"/>
    <mergeCell ref="BK315:BR315"/>
    <mergeCell ref="BS315:BX315"/>
    <mergeCell ref="A316:B316"/>
    <mergeCell ref="C316:E316"/>
    <mergeCell ref="F316:K316"/>
    <mergeCell ref="L316:AU316"/>
    <mergeCell ref="AV316:AW316"/>
    <mergeCell ref="AX316:BB316"/>
    <mergeCell ref="BC316:BJ316"/>
    <mergeCell ref="A315:B315"/>
    <mergeCell ref="C315:E315"/>
    <mergeCell ref="F315:K315"/>
    <mergeCell ref="L315:AU315"/>
    <mergeCell ref="AV315:AW315"/>
    <mergeCell ref="AX315:BB315"/>
    <mergeCell ref="BS313:BX313"/>
    <mergeCell ref="A314:B314"/>
    <mergeCell ref="C314:E314"/>
    <mergeCell ref="F314:K314"/>
    <mergeCell ref="L314:AU314"/>
    <mergeCell ref="AV314:AW314"/>
    <mergeCell ref="AX314:BB314"/>
    <mergeCell ref="BC314:BJ314"/>
    <mergeCell ref="BK314:BR314"/>
    <mergeCell ref="BS314:BX314"/>
    <mergeCell ref="BK312:BR312"/>
    <mergeCell ref="BS312:BX312"/>
    <mergeCell ref="A313:B313"/>
    <mergeCell ref="C313:E313"/>
    <mergeCell ref="F313:K313"/>
    <mergeCell ref="L313:AU313"/>
    <mergeCell ref="AV313:AW313"/>
    <mergeCell ref="AX313:BB313"/>
    <mergeCell ref="BC313:BJ313"/>
    <mergeCell ref="BK313:BR313"/>
    <mergeCell ref="BC311:BJ311"/>
    <mergeCell ref="BK311:BR311"/>
    <mergeCell ref="BS311:BX311"/>
    <mergeCell ref="A312:B312"/>
    <mergeCell ref="C312:E312"/>
    <mergeCell ref="F312:K312"/>
    <mergeCell ref="L312:AU312"/>
    <mergeCell ref="AV312:AW312"/>
    <mergeCell ref="AX312:BB312"/>
    <mergeCell ref="BC312:BJ312"/>
    <mergeCell ref="A311:B311"/>
    <mergeCell ref="C311:E311"/>
    <mergeCell ref="F311:K311"/>
    <mergeCell ref="L311:AU311"/>
    <mergeCell ref="AV311:AW311"/>
    <mergeCell ref="AX311:BB311"/>
    <mergeCell ref="BS309:BX309"/>
    <mergeCell ref="A310:B310"/>
    <mergeCell ref="C310:E310"/>
    <mergeCell ref="F310:K310"/>
    <mergeCell ref="L310:AU310"/>
    <mergeCell ref="AV310:AW310"/>
    <mergeCell ref="AX310:BB310"/>
    <mergeCell ref="BC310:BJ310"/>
    <mergeCell ref="BK310:BR310"/>
    <mergeCell ref="BS310:BX310"/>
    <mergeCell ref="BK308:BR308"/>
    <mergeCell ref="BS308:BX308"/>
    <mergeCell ref="A309:B309"/>
    <mergeCell ref="C309:E309"/>
    <mergeCell ref="F309:K309"/>
    <mergeCell ref="L309:AU309"/>
    <mergeCell ref="AV309:AW309"/>
    <mergeCell ref="AX309:BB309"/>
    <mergeCell ref="BC309:BJ309"/>
    <mergeCell ref="BK309:BR309"/>
    <mergeCell ref="BC307:BJ307"/>
    <mergeCell ref="BK307:BR307"/>
    <mergeCell ref="BS307:BX307"/>
    <mergeCell ref="A308:B308"/>
    <mergeCell ref="C308:E308"/>
    <mergeCell ref="F308:K308"/>
    <mergeCell ref="L308:AU308"/>
    <mergeCell ref="AV308:AW308"/>
    <mergeCell ref="AX308:BB308"/>
    <mergeCell ref="BC308:BJ308"/>
    <mergeCell ref="A307:B307"/>
    <mergeCell ref="C307:E307"/>
    <mergeCell ref="F307:K307"/>
    <mergeCell ref="L307:AU307"/>
    <mergeCell ref="AV307:AW307"/>
    <mergeCell ref="AX307:BB307"/>
    <mergeCell ref="BS305:BX305"/>
    <mergeCell ref="A306:B306"/>
    <mergeCell ref="C306:E306"/>
    <mergeCell ref="F306:K306"/>
    <mergeCell ref="L306:AU306"/>
    <mergeCell ref="AV306:AW306"/>
    <mergeCell ref="AX306:BB306"/>
    <mergeCell ref="BC306:BJ306"/>
    <mergeCell ref="BK306:BR306"/>
    <mergeCell ref="BS306:BX306"/>
    <mergeCell ref="BK304:BR304"/>
    <mergeCell ref="BS304:BX304"/>
    <mergeCell ref="A305:B305"/>
    <mergeCell ref="C305:E305"/>
    <mergeCell ref="F305:K305"/>
    <mergeCell ref="L305:AU305"/>
    <mergeCell ref="AV305:AW305"/>
    <mergeCell ref="AX305:BB305"/>
    <mergeCell ref="BC305:BJ305"/>
    <mergeCell ref="BK305:BR305"/>
    <mergeCell ref="BC303:BJ303"/>
    <mergeCell ref="BK303:BR303"/>
    <mergeCell ref="BS303:BX303"/>
    <mergeCell ref="A304:B304"/>
    <mergeCell ref="C304:E304"/>
    <mergeCell ref="F304:K304"/>
    <mergeCell ref="L304:AU304"/>
    <mergeCell ref="AV304:AW304"/>
    <mergeCell ref="AX304:BB304"/>
    <mergeCell ref="BC304:BJ304"/>
    <mergeCell ref="A303:B303"/>
    <mergeCell ref="C303:E303"/>
    <mergeCell ref="F303:K303"/>
    <mergeCell ref="L303:AU303"/>
    <mergeCell ref="AV303:AW303"/>
    <mergeCell ref="AX303:BB303"/>
    <mergeCell ref="BS301:BX301"/>
    <mergeCell ref="A302:B302"/>
    <mergeCell ref="C302:E302"/>
    <mergeCell ref="F302:K302"/>
    <mergeCell ref="L302:AU302"/>
    <mergeCell ref="AV302:AW302"/>
    <mergeCell ref="AX302:BB302"/>
    <mergeCell ref="BC302:BJ302"/>
    <mergeCell ref="BK302:BR302"/>
    <mergeCell ref="BS302:BX302"/>
    <mergeCell ref="BK300:BR300"/>
    <mergeCell ref="BS300:BX300"/>
    <mergeCell ref="A301:B301"/>
    <mergeCell ref="C301:E301"/>
    <mergeCell ref="F301:K301"/>
    <mergeCell ref="L301:AU301"/>
    <mergeCell ref="AV301:AW301"/>
    <mergeCell ref="AX301:BB301"/>
    <mergeCell ref="BC301:BJ301"/>
    <mergeCell ref="BK301:BR301"/>
    <mergeCell ref="BC299:BJ299"/>
    <mergeCell ref="BK299:BR299"/>
    <mergeCell ref="BS299:BX299"/>
    <mergeCell ref="A300:B300"/>
    <mergeCell ref="C300:E300"/>
    <mergeCell ref="F300:K300"/>
    <mergeCell ref="L300:AU300"/>
    <mergeCell ref="AV300:AW300"/>
    <mergeCell ref="AX300:BB300"/>
    <mergeCell ref="BC300:BJ300"/>
    <mergeCell ref="A299:B299"/>
    <mergeCell ref="C299:E299"/>
    <mergeCell ref="F299:K299"/>
    <mergeCell ref="L299:AU299"/>
    <mergeCell ref="AV299:AW299"/>
    <mergeCell ref="AX299:BB299"/>
    <mergeCell ref="BS297:BX297"/>
    <mergeCell ref="A298:B298"/>
    <mergeCell ref="C298:E298"/>
    <mergeCell ref="F298:K298"/>
    <mergeCell ref="L298:AU298"/>
    <mergeCell ref="AV298:AW298"/>
    <mergeCell ref="AX298:BB298"/>
    <mergeCell ref="BC298:BJ298"/>
    <mergeCell ref="BK298:BR298"/>
    <mergeCell ref="BS298:BX298"/>
    <mergeCell ref="BK296:BR296"/>
    <mergeCell ref="BS296:BX296"/>
    <mergeCell ref="A297:B297"/>
    <mergeCell ref="C297:E297"/>
    <mergeCell ref="F297:K297"/>
    <mergeCell ref="L297:AU297"/>
    <mergeCell ref="AV297:AW297"/>
    <mergeCell ref="AX297:BB297"/>
    <mergeCell ref="BC297:BJ297"/>
    <mergeCell ref="BK297:BR297"/>
    <mergeCell ref="BC295:BJ295"/>
    <mergeCell ref="BK295:BR295"/>
    <mergeCell ref="BS295:BX295"/>
    <mergeCell ref="A296:B296"/>
    <mergeCell ref="C296:E296"/>
    <mergeCell ref="F296:K296"/>
    <mergeCell ref="L296:AU296"/>
    <mergeCell ref="AV296:AW296"/>
    <mergeCell ref="AX296:BB296"/>
    <mergeCell ref="BC296:BJ296"/>
    <mergeCell ref="A295:B295"/>
    <mergeCell ref="C295:E295"/>
    <mergeCell ref="F295:K295"/>
    <mergeCell ref="L295:AU295"/>
    <mergeCell ref="AV295:AW295"/>
    <mergeCell ref="AX295:BB295"/>
    <mergeCell ref="BS293:BX293"/>
    <mergeCell ref="A294:B294"/>
    <mergeCell ref="C294:E294"/>
    <mergeCell ref="F294:K294"/>
    <mergeCell ref="L294:AU294"/>
    <mergeCell ref="AV294:AW294"/>
    <mergeCell ref="AX294:BB294"/>
    <mergeCell ref="BC294:BJ294"/>
    <mergeCell ref="BK294:BR294"/>
    <mergeCell ref="BS294:BX294"/>
    <mergeCell ref="BK292:BR292"/>
    <mergeCell ref="BS292:BX292"/>
    <mergeCell ref="A293:B293"/>
    <mergeCell ref="C293:E293"/>
    <mergeCell ref="F293:K293"/>
    <mergeCell ref="L293:AU293"/>
    <mergeCell ref="AV293:AW293"/>
    <mergeCell ref="AX293:BB293"/>
    <mergeCell ref="BC293:BJ293"/>
    <mergeCell ref="BK293:BR293"/>
    <mergeCell ref="BC291:BJ291"/>
    <mergeCell ref="BK291:BR291"/>
    <mergeCell ref="BS291:BX291"/>
    <mergeCell ref="A292:B292"/>
    <mergeCell ref="C292:E292"/>
    <mergeCell ref="F292:K292"/>
    <mergeCell ref="L292:AU292"/>
    <mergeCell ref="AV292:AW292"/>
    <mergeCell ref="AX292:BB292"/>
    <mergeCell ref="BC292:BJ292"/>
    <mergeCell ref="A291:B291"/>
    <mergeCell ref="C291:E291"/>
    <mergeCell ref="F291:K291"/>
    <mergeCell ref="L291:AU291"/>
    <mergeCell ref="AV291:AW291"/>
    <mergeCell ref="AX291:BB291"/>
    <mergeCell ref="BS289:BX289"/>
    <mergeCell ref="A290:B290"/>
    <mergeCell ref="C290:E290"/>
    <mergeCell ref="F290:K290"/>
    <mergeCell ref="L290:AU290"/>
    <mergeCell ref="AV290:AW290"/>
    <mergeCell ref="AX290:BB290"/>
    <mergeCell ref="BC290:BJ290"/>
    <mergeCell ref="BK290:BR290"/>
    <mergeCell ref="BS290:BX290"/>
    <mergeCell ref="BK288:BR288"/>
    <mergeCell ref="BS288:BX288"/>
    <mergeCell ref="A289:B289"/>
    <mergeCell ref="C289:E289"/>
    <mergeCell ref="F289:K289"/>
    <mergeCell ref="L289:AU289"/>
    <mergeCell ref="AV289:AW289"/>
    <mergeCell ref="AX289:BB289"/>
    <mergeCell ref="BC289:BJ289"/>
    <mergeCell ref="BK289:BR289"/>
    <mergeCell ref="BC287:BJ287"/>
    <mergeCell ref="BK287:BR287"/>
    <mergeCell ref="BS287:BX287"/>
    <mergeCell ref="A288:B288"/>
    <mergeCell ref="C288:E288"/>
    <mergeCell ref="F288:K288"/>
    <mergeCell ref="L288:AU288"/>
    <mergeCell ref="AV288:AW288"/>
    <mergeCell ref="AX288:BB288"/>
    <mergeCell ref="BC288:BJ288"/>
    <mergeCell ref="A287:B287"/>
    <mergeCell ref="C287:E287"/>
    <mergeCell ref="F287:K287"/>
    <mergeCell ref="L287:AU287"/>
    <mergeCell ref="AV287:AW287"/>
    <mergeCell ref="AX287:BB287"/>
    <mergeCell ref="BS285:BX285"/>
    <mergeCell ref="A286:B286"/>
    <mergeCell ref="C286:E286"/>
    <mergeCell ref="F286:K286"/>
    <mergeCell ref="L286:AU286"/>
    <mergeCell ref="AV286:AW286"/>
    <mergeCell ref="AX286:BB286"/>
    <mergeCell ref="BC286:BJ286"/>
    <mergeCell ref="BK286:BR286"/>
    <mergeCell ref="BS286:BX286"/>
    <mergeCell ref="BK284:BR284"/>
    <mergeCell ref="BS284:BX284"/>
    <mergeCell ref="A285:B285"/>
    <mergeCell ref="C285:E285"/>
    <mergeCell ref="F285:K285"/>
    <mergeCell ref="L285:AU285"/>
    <mergeCell ref="AV285:AW285"/>
    <mergeCell ref="AX285:BB285"/>
    <mergeCell ref="BC285:BJ285"/>
    <mergeCell ref="BK285:BR285"/>
    <mergeCell ref="BC283:BJ283"/>
    <mergeCell ref="BK283:BR283"/>
    <mergeCell ref="BS283:BX283"/>
    <mergeCell ref="A284:B284"/>
    <mergeCell ref="C284:E284"/>
    <mergeCell ref="F284:K284"/>
    <mergeCell ref="L284:AU284"/>
    <mergeCell ref="AV284:AW284"/>
    <mergeCell ref="AX284:BB284"/>
    <mergeCell ref="BC284:BJ284"/>
    <mergeCell ref="A283:B283"/>
    <mergeCell ref="C283:E283"/>
    <mergeCell ref="F283:K283"/>
    <mergeCell ref="L283:AU283"/>
    <mergeCell ref="AV283:AW283"/>
    <mergeCell ref="AX283:BB283"/>
    <mergeCell ref="BS281:BX281"/>
    <mergeCell ref="A282:B282"/>
    <mergeCell ref="C282:E282"/>
    <mergeCell ref="F282:K282"/>
    <mergeCell ref="L282:AU282"/>
    <mergeCell ref="AV282:AW282"/>
    <mergeCell ref="AX282:BB282"/>
    <mergeCell ref="BC282:BJ282"/>
    <mergeCell ref="BK282:BR282"/>
    <mergeCell ref="BS282:BX282"/>
    <mergeCell ref="BK280:BR280"/>
    <mergeCell ref="BS280:BX280"/>
    <mergeCell ref="A281:B281"/>
    <mergeCell ref="C281:E281"/>
    <mergeCell ref="F281:K281"/>
    <mergeCell ref="L281:AU281"/>
    <mergeCell ref="AV281:AW281"/>
    <mergeCell ref="AX281:BB281"/>
    <mergeCell ref="BC281:BJ281"/>
    <mergeCell ref="BK281:BR281"/>
    <mergeCell ref="BC279:BJ279"/>
    <mergeCell ref="BK279:BR279"/>
    <mergeCell ref="BS279:BX279"/>
    <mergeCell ref="A280:B280"/>
    <mergeCell ref="C280:E280"/>
    <mergeCell ref="F280:K280"/>
    <mergeCell ref="L280:AU280"/>
    <mergeCell ref="AV280:AW280"/>
    <mergeCell ref="AX280:BB280"/>
    <mergeCell ref="BC280:BJ280"/>
    <mergeCell ref="A279:B279"/>
    <mergeCell ref="C279:E279"/>
    <mergeCell ref="F279:K279"/>
    <mergeCell ref="L279:AU279"/>
    <mergeCell ref="AV279:AW279"/>
    <mergeCell ref="AX279:BB279"/>
    <mergeCell ref="BS277:BX277"/>
    <mergeCell ref="A278:B278"/>
    <mergeCell ref="C278:E278"/>
    <mergeCell ref="F278:K278"/>
    <mergeCell ref="L278:AU278"/>
    <mergeCell ref="AV278:AW278"/>
    <mergeCell ref="AX278:BB278"/>
    <mergeCell ref="BC278:BJ278"/>
    <mergeCell ref="BK278:BR278"/>
    <mergeCell ref="BS278:BX278"/>
    <mergeCell ref="BK276:BR276"/>
    <mergeCell ref="BS276:BX276"/>
    <mergeCell ref="A277:B277"/>
    <mergeCell ref="C277:E277"/>
    <mergeCell ref="F277:K277"/>
    <mergeCell ref="L277:AU277"/>
    <mergeCell ref="AV277:AW277"/>
    <mergeCell ref="AX277:BB277"/>
    <mergeCell ref="BC277:BJ277"/>
    <mergeCell ref="BK277:BR277"/>
    <mergeCell ref="BC275:BJ275"/>
    <mergeCell ref="BK275:BR275"/>
    <mergeCell ref="BS275:BX275"/>
    <mergeCell ref="A276:B276"/>
    <mergeCell ref="C276:E276"/>
    <mergeCell ref="F276:K276"/>
    <mergeCell ref="L276:AU276"/>
    <mergeCell ref="AV276:AW276"/>
    <mergeCell ref="AX276:BB276"/>
    <mergeCell ref="BC276:BJ276"/>
    <mergeCell ref="A275:B275"/>
    <mergeCell ref="C275:E275"/>
    <mergeCell ref="F275:K275"/>
    <mergeCell ref="L275:AU275"/>
    <mergeCell ref="AV275:AW275"/>
    <mergeCell ref="AX275:BB275"/>
    <mergeCell ref="BS273:BX273"/>
    <mergeCell ref="A274:B274"/>
    <mergeCell ref="C274:E274"/>
    <mergeCell ref="F274:K274"/>
    <mergeCell ref="L274:AU274"/>
    <mergeCell ref="AV274:AW274"/>
    <mergeCell ref="AX274:BB274"/>
    <mergeCell ref="BC274:BJ274"/>
    <mergeCell ref="BK274:BR274"/>
    <mergeCell ref="BS274:BX274"/>
    <mergeCell ref="BK272:BR272"/>
    <mergeCell ref="BS272:BX272"/>
    <mergeCell ref="A273:B273"/>
    <mergeCell ref="C273:E273"/>
    <mergeCell ref="F273:K273"/>
    <mergeCell ref="L273:AU273"/>
    <mergeCell ref="AV273:AW273"/>
    <mergeCell ref="AX273:BB273"/>
    <mergeCell ref="BC273:BJ273"/>
    <mergeCell ref="BK273:BR273"/>
    <mergeCell ref="BC271:BJ271"/>
    <mergeCell ref="BK271:BR271"/>
    <mergeCell ref="BS271:BX271"/>
    <mergeCell ref="A272:B272"/>
    <mergeCell ref="C272:E272"/>
    <mergeCell ref="F272:K272"/>
    <mergeCell ref="L272:AU272"/>
    <mergeCell ref="AV272:AW272"/>
    <mergeCell ref="AX272:BB272"/>
    <mergeCell ref="BC272:BJ272"/>
    <mergeCell ref="A271:B271"/>
    <mergeCell ref="C271:E271"/>
    <mergeCell ref="F271:K271"/>
    <mergeCell ref="L271:AU271"/>
    <mergeCell ref="AV271:AW271"/>
    <mergeCell ref="AX271:BB271"/>
    <mergeCell ref="BS269:BX269"/>
    <mergeCell ref="A270:B270"/>
    <mergeCell ref="C270:E270"/>
    <mergeCell ref="F270:K270"/>
    <mergeCell ref="L270:AU270"/>
    <mergeCell ref="AV270:AW270"/>
    <mergeCell ref="AX270:BB270"/>
    <mergeCell ref="BC270:BJ270"/>
    <mergeCell ref="BK270:BR270"/>
    <mergeCell ref="BS270:BX270"/>
    <mergeCell ref="BK268:BR268"/>
    <mergeCell ref="BS268:BX268"/>
    <mergeCell ref="A269:B269"/>
    <mergeCell ref="C269:E269"/>
    <mergeCell ref="F269:K269"/>
    <mergeCell ref="L269:AU269"/>
    <mergeCell ref="AV269:AW269"/>
    <mergeCell ref="AX269:BB269"/>
    <mergeCell ref="BC269:BJ269"/>
    <mergeCell ref="BK269:BR269"/>
    <mergeCell ref="BC267:BJ267"/>
    <mergeCell ref="BK267:BR267"/>
    <mergeCell ref="BS267:BX267"/>
    <mergeCell ref="A268:B268"/>
    <mergeCell ref="C268:E268"/>
    <mergeCell ref="F268:K268"/>
    <mergeCell ref="L268:AU268"/>
    <mergeCell ref="AV268:AW268"/>
    <mergeCell ref="AX268:BB268"/>
    <mergeCell ref="BC268:BJ268"/>
    <mergeCell ref="A267:B267"/>
    <mergeCell ref="C267:E267"/>
    <mergeCell ref="F267:K267"/>
    <mergeCell ref="L267:AU267"/>
    <mergeCell ref="AV267:AW267"/>
    <mergeCell ref="AX267:BB267"/>
    <mergeCell ref="BS265:BX265"/>
    <mergeCell ref="A266:B266"/>
    <mergeCell ref="C266:E266"/>
    <mergeCell ref="F266:K266"/>
    <mergeCell ref="L266:AU266"/>
    <mergeCell ref="AV266:AW266"/>
    <mergeCell ref="AX266:BB266"/>
    <mergeCell ref="BC266:BJ266"/>
    <mergeCell ref="BK266:BR266"/>
    <mergeCell ref="BS266:BX266"/>
    <mergeCell ref="BK264:BR264"/>
    <mergeCell ref="BS264:BX264"/>
    <mergeCell ref="A265:B265"/>
    <mergeCell ref="C265:E265"/>
    <mergeCell ref="F265:K265"/>
    <mergeCell ref="L265:AU265"/>
    <mergeCell ref="AV265:AW265"/>
    <mergeCell ref="AX265:BB265"/>
    <mergeCell ref="BC265:BJ265"/>
    <mergeCell ref="BK265:BR265"/>
    <mergeCell ref="BC263:BJ263"/>
    <mergeCell ref="BK263:BR263"/>
    <mergeCell ref="BS263:BX263"/>
    <mergeCell ref="A264:B264"/>
    <mergeCell ref="C264:E264"/>
    <mergeCell ref="F264:K264"/>
    <mergeCell ref="L264:AU264"/>
    <mergeCell ref="AV264:AW264"/>
    <mergeCell ref="AX264:BB264"/>
    <mergeCell ref="BC264:BJ264"/>
    <mergeCell ref="A263:B263"/>
    <mergeCell ref="C263:E263"/>
    <mergeCell ref="F263:K263"/>
    <mergeCell ref="L263:AU263"/>
    <mergeCell ref="AV263:AW263"/>
    <mergeCell ref="AX263:BB263"/>
    <mergeCell ref="BS261:BX261"/>
    <mergeCell ref="A262:B262"/>
    <mergeCell ref="C262:E262"/>
    <mergeCell ref="F262:K262"/>
    <mergeCell ref="L262:AU262"/>
    <mergeCell ref="AV262:AW262"/>
    <mergeCell ref="AX262:BB262"/>
    <mergeCell ref="BC262:BJ262"/>
    <mergeCell ref="BK262:BR262"/>
    <mergeCell ref="BS262:BX262"/>
    <mergeCell ref="BK260:BR260"/>
    <mergeCell ref="BS260:BX260"/>
    <mergeCell ref="A261:B261"/>
    <mergeCell ref="C261:E261"/>
    <mergeCell ref="F261:K261"/>
    <mergeCell ref="L261:AU261"/>
    <mergeCell ref="AV261:AW261"/>
    <mergeCell ref="AX261:BB261"/>
    <mergeCell ref="BC261:BJ261"/>
    <mergeCell ref="BK261:BR261"/>
    <mergeCell ref="BC259:BJ259"/>
    <mergeCell ref="BK259:BR259"/>
    <mergeCell ref="BS259:BX259"/>
    <mergeCell ref="A260:B260"/>
    <mergeCell ref="C260:E260"/>
    <mergeCell ref="F260:K260"/>
    <mergeCell ref="L260:AU260"/>
    <mergeCell ref="AV260:AW260"/>
    <mergeCell ref="AX260:BB260"/>
    <mergeCell ref="BC260:BJ260"/>
    <mergeCell ref="A259:B259"/>
    <mergeCell ref="C259:E259"/>
    <mergeCell ref="F259:K259"/>
    <mergeCell ref="L259:AU259"/>
    <mergeCell ref="AV259:AW259"/>
    <mergeCell ref="AX259:BB259"/>
    <mergeCell ref="BS257:BX257"/>
    <mergeCell ref="A258:B258"/>
    <mergeCell ref="C258:E258"/>
    <mergeCell ref="F258:K258"/>
    <mergeCell ref="L258:AU258"/>
    <mergeCell ref="AV258:AW258"/>
    <mergeCell ref="AX258:BB258"/>
    <mergeCell ref="BC258:BJ258"/>
    <mergeCell ref="BK258:BR258"/>
    <mergeCell ref="BS258:BX258"/>
    <mergeCell ref="BK256:BR256"/>
    <mergeCell ref="BS256:BX256"/>
    <mergeCell ref="A257:B257"/>
    <mergeCell ref="C257:E257"/>
    <mergeCell ref="F257:K257"/>
    <mergeCell ref="L257:AU257"/>
    <mergeCell ref="AV257:AW257"/>
    <mergeCell ref="AX257:BB257"/>
    <mergeCell ref="BC257:BJ257"/>
    <mergeCell ref="BK257:BR257"/>
    <mergeCell ref="BC255:BJ255"/>
    <mergeCell ref="BK255:BR255"/>
    <mergeCell ref="BS255:BX255"/>
    <mergeCell ref="A256:B256"/>
    <mergeCell ref="C256:E256"/>
    <mergeCell ref="F256:K256"/>
    <mergeCell ref="L256:AU256"/>
    <mergeCell ref="AV256:AW256"/>
    <mergeCell ref="AX256:BB256"/>
    <mergeCell ref="BC256:BJ256"/>
    <mergeCell ref="A255:B255"/>
    <mergeCell ref="C255:E255"/>
    <mergeCell ref="F255:K255"/>
    <mergeCell ref="L255:AU255"/>
    <mergeCell ref="AV255:AW255"/>
    <mergeCell ref="AX255:BB255"/>
    <mergeCell ref="BS253:BX253"/>
    <mergeCell ref="A254:B254"/>
    <mergeCell ref="C254:E254"/>
    <mergeCell ref="F254:K254"/>
    <mergeCell ref="L254:AU254"/>
    <mergeCell ref="AV254:AW254"/>
    <mergeCell ref="AX254:BB254"/>
    <mergeCell ref="BC254:BJ254"/>
    <mergeCell ref="BK254:BR254"/>
    <mergeCell ref="BS254:BX254"/>
    <mergeCell ref="BK252:BR252"/>
    <mergeCell ref="BS252:BX252"/>
    <mergeCell ref="A253:B253"/>
    <mergeCell ref="C253:E253"/>
    <mergeCell ref="F253:K253"/>
    <mergeCell ref="L253:AU253"/>
    <mergeCell ref="AV253:AW253"/>
    <mergeCell ref="AX253:BB253"/>
    <mergeCell ref="BC253:BJ253"/>
    <mergeCell ref="BK253:BR253"/>
    <mergeCell ref="BC251:BJ251"/>
    <mergeCell ref="BK251:BR251"/>
    <mergeCell ref="BS251:BX251"/>
    <mergeCell ref="A252:B252"/>
    <mergeCell ref="C252:E252"/>
    <mergeCell ref="F252:K252"/>
    <mergeCell ref="L252:AU252"/>
    <mergeCell ref="AV252:AW252"/>
    <mergeCell ref="AX252:BB252"/>
    <mergeCell ref="BC252:BJ252"/>
    <mergeCell ref="A251:B251"/>
    <mergeCell ref="C251:E251"/>
    <mergeCell ref="F251:K251"/>
    <mergeCell ref="L251:AU251"/>
    <mergeCell ref="AV251:AW251"/>
    <mergeCell ref="AX251:BB251"/>
    <mergeCell ref="BS249:BX249"/>
    <mergeCell ref="A250:B250"/>
    <mergeCell ref="C250:E250"/>
    <mergeCell ref="F250:K250"/>
    <mergeCell ref="L250:AU250"/>
    <mergeCell ref="AV250:AW250"/>
    <mergeCell ref="AX250:BB250"/>
    <mergeCell ref="BC250:BJ250"/>
    <mergeCell ref="BK250:BR250"/>
    <mergeCell ref="BS250:BX250"/>
    <mergeCell ref="BK248:BR248"/>
    <mergeCell ref="BS248:BX248"/>
    <mergeCell ref="A249:B249"/>
    <mergeCell ref="C249:E249"/>
    <mergeCell ref="F249:K249"/>
    <mergeCell ref="L249:AU249"/>
    <mergeCell ref="AV249:AW249"/>
    <mergeCell ref="AX249:BB249"/>
    <mergeCell ref="BC249:BJ249"/>
    <mergeCell ref="BK249:BR249"/>
    <mergeCell ref="BC247:BJ247"/>
    <mergeCell ref="BK247:BR247"/>
    <mergeCell ref="BS247:BX247"/>
    <mergeCell ref="A248:B248"/>
    <mergeCell ref="C248:E248"/>
    <mergeCell ref="F248:K248"/>
    <mergeCell ref="L248:AU248"/>
    <mergeCell ref="AV248:AW248"/>
    <mergeCell ref="AX248:BB248"/>
    <mergeCell ref="BC248:BJ248"/>
    <mergeCell ref="A247:B247"/>
    <mergeCell ref="C247:E247"/>
    <mergeCell ref="F247:K247"/>
    <mergeCell ref="L247:AU247"/>
    <mergeCell ref="AV247:AW247"/>
    <mergeCell ref="AX247:BB247"/>
    <mergeCell ref="BS245:BX245"/>
    <mergeCell ref="A246:B246"/>
    <mergeCell ref="C246:E246"/>
    <mergeCell ref="F246:K246"/>
    <mergeCell ref="L246:AU246"/>
    <mergeCell ref="AV246:AW246"/>
    <mergeCell ref="AX246:BB246"/>
    <mergeCell ref="BC246:BJ246"/>
    <mergeCell ref="BK246:BR246"/>
    <mergeCell ref="BS246:BX246"/>
    <mergeCell ref="BK244:BR244"/>
    <mergeCell ref="BS244:BX244"/>
    <mergeCell ref="A245:B245"/>
    <mergeCell ref="C245:E245"/>
    <mergeCell ref="F245:K245"/>
    <mergeCell ref="L245:AU245"/>
    <mergeCell ref="AV245:AW245"/>
    <mergeCell ref="AX245:BB245"/>
    <mergeCell ref="BC245:BJ245"/>
    <mergeCell ref="BK245:BR245"/>
    <mergeCell ref="BC243:BJ243"/>
    <mergeCell ref="BK243:BR243"/>
    <mergeCell ref="BS243:BX243"/>
    <mergeCell ref="A244:B244"/>
    <mergeCell ref="C244:E244"/>
    <mergeCell ref="F244:K244"/>
    <mergeCell ref="L244:AU244"/>
    <mergeCell ref="AV244:AW244"/>
    <mergeCell ref="AX244:BB244"/>
    <mergeCell ref="BC244:BJ244"/>
    <mergeCell ref="A243:B243"/>
    <mergeCell ref="C243:E243"/>
    <mergeCell ref="F243:K243"/>
    <mergeCell ref="L243:AU243"/>
    <mergeCell ref="AV243:AW243"/>
    <mergeCell ref="AX243:BB243"/>
    <mergeCell ref="BS241:BX241"/>
    <mergeCell ref="A242:B242"/>
    <mergeCell ref="C242:E242"/>
    <mergeCell ref="F242:K242"/>
    <mergeCell ref="L242:AU242"/>
    <mergeCell ref="AV242:AW242"/>
    <mergeCell ref="AX242:BB242"/>
    <mergeCell ref="BC242:BJ242"/>
    <mergeCell ref="BK242:BR242"/>
    <mergeCell ref="BS242:BX242"/>
    <mergeCell ref="BK240:BR240"/>
    <mergeCell ref="BS240:BX240"/>
    <mergeCell ref="A241:B241"/>
    <mergeCell ref="C241:E241"/>
    <mergeCell ref="F241:K241"/>
    <mergeCell ref="L241:AU241"/>
    <mergeCell ref="AV241:AW241"/>
    <mergeCell ref="AX241:BB241"/>
    <mergeCell ref="BC241:BJ241"/>
    <mergeCell ref="BK241:BR241"/>
    <mergeCell ref="BC239:BJ239"/>
    <mergeCell ref="BK239:BR239"/>
    <mergeCell ref="BS239:BX239"/>
    <mergeCell ref="A240:B240"/>
    <mergeCell ref="C240:E240"/>
    <mergeCell ref="F240:K240"/>
    <mergeCell ref="L240:AU240"/>
    <mergeCell ref="AV240:AW240"/>
    <mergeCell ref="AX240:BB240"/>
    <mergeCell ref="BC240:BJ240"/>
    <mergeCell ref="A239:B239"/>
    <mergeCell ref="C239:E239"/>
    <mergeCell ref="F239:K239"/>
    <mergeCell ref="L239:AU239"/>
    <mergeCell ref="AV239:AW239"/>
    <mergeCell ref="AX239:BB239"/>
    <mergeCell ref="BS237:BX237"/>
    <mergeCell ref="A238:B238"/>
    <mergeCell ref="C238:E238"/>
    <mergeCell ref="F238:K238"/>
    <mergeCell ref="L238:AU238"/>
    <mergeCell ref="AV238:AW238"/>
    <mergeCell ref="AX238:BB238"/>
    <mergeCell ref="BC238:BJ238"/>
    <mergeCell ref="BK238:BR238"/>
    <mergeCell ref="BS238:BX238"/>
    <mergeCell ref="BK236:BR236"/>
    <mergeCell ref="BS236:BX236"/>
    <mergeCell ref="A237:B237"/>
    <mergeCell ref="C237:E237"/>
    <mergeCell ref="F237:K237"/>
    <mergeCell ref="L237:AU237"/>
    <mergeCell ref="AV237:AW237"/>
    <mergeCell ref="AX237:BB237"/>
    <mergeCell ref="BC237:BJ237"/>
    <mergeCell ref="BK237:BR237"/>
    <mergeCell ref="BC235:BJ235"/>
    <mergeCell ref="BK235:BR235"/>
    <mergeCell ref="BS235:BX235"/>
    <mergeCell ref="A236:B236"/>
    <mergeCell ref="C236:E236"/>
    <mergeCell ref="F236:K236"/>
    <mergeCell ref="L236:AU236"/>
    <mergeCell ref="AV236:AW236"/>
    <mergeCell ref="AX236:BB236"/>
    <mergeCell ref="BC236:BJ236"/>
    <mergeCell ref="A235:B235"/>
    <mergeCell ref="C235:E235"/>
    <mergeCell ref="F235:K235"/>
    <mergeCell ref="L235:AU235"/>
    <mergeCell ref="AV235:AW235"/>
    <mergeCell ref="AX235:BB235"/>
    <mergeCell ref="BS233:BX233"/>
    <mergeCell ref="A234:B234"/>
    <mergeCell ref="C234:E234"/>
    <mergeCell ref="F234:K234"/>
    <mergeCell ref="L234:AU234"/>
    <mergeCell ref="AV234:AW234"/>
    <mergeCell ref="AX234:BB234"/>
    <mergeCell ref="BC234:BJ234"/>
    <mergeCell ref="BK234:BR234"/>
    <mergeCell ref="BS234:BX234"/>
    <mergeCell ref="BK232:BR232"/>
    <mergeCell ref="BS232:BX232"/>
    <mergeCell ref="A233:B233"/>
    <mergeCell ref="C233:E233"/>
    <mergeCell ref="F233:K233"/>
    <mergeCell ref="L233:AU233"/>
    <mergeCell ref="AV233:AW233"/>
    <mergeCell ref="AX233:BB233"/>
    <mergeCell ref="BC233:BJ233"/>
    <mergeCell ref="BK233:BR233"/>
    <mergeCell ref="BC231:BJ231"/>
    <mergeCell ref="BK231:BR231"/>
    <mergeCell ref="BS231:BX231"/>
    <mergeCell ref="A232:B232"/>
    <mergeCell ref="C232:E232"/>
    <mergeCell ref="F232:K232"/>
    <mergeCell ref="L232:AU232"/>
    <mergeCell ref="AV232:AW232"/>
    <mergeCell ref="AX232:BB232"/>
    <mergeCell ref="BC232:BJ232"/>
    <mergeCell ref="A231:B231"/>
    <mergeCell ref="C231:E231"/>
    <mergeCell ref="F231:K231"/>
    <mergeCell ref="L231:AU231"/>
    <mergeCell ref="AV231:AW231"/>
    <mergeCell ref="AX231:BB231"/>
    <mergeCell ref="BS229:BX229"/>
    <mergeCell ref="A230:B230"/>
    <mergeCell ref="C230:E230"/>
    <mergeCell ref="F230:K230"/>
    <mergeCell ref="L230:AU230"/>
    <mergeCell ref="AV230:AW230"/>
    <mergeCell ref="AX230:BB230"/>
    <mergeCell ref="BC230:BJ230"/>
    <mergeCell ref="BK230:BR230"/>
    <mergeCell ref="BS230:BX230"/>
    <mergeCell ref="BK228:BR228"/>
    <mergeCell ref="BS228:BX228"/>
    <mergeCell ref="A229:B229"/>
    <mergeCell ref="C229:E229"/>
    <mergeCell ref="F229:K229"/>
    <mergeCell ref="L229:AU229"/>
    <mergeCell ref="AV229:AW229"/>
    <mergeCell ref="AX229:BB229"/>
    <mergeCell ref="BC229:BJ229"/>
    <mergeCell ref="BK229:BR229"/>
    <mergeCell ref="BC227:BJ227"/>
    <mergeCell ref="BK227:BR227"/>
    <mergeCell ref="BS227:BX227"/>
    <mergeCell ref="A228:B228"/>
    <mergeCell ref="C228:E228"/>
    <mergeCell ref="F228:K228"/>
    <mergeCell ref="L228:AU228"/>
    <mergeCell ref="AV228:AW228"/>
    <mergeCell ref="AX228:BB228"/>
    <mergeCell ref="BC228:BJ228"/>
    <mergeCell ref="A227:B227"/>
    <mergeCell ref="C227:E227"/>
    <mergeCell ref="F227:K227"/>
    <mergeCell ref="L227:AU227"/>
    <mergeCell ref="AV227:AW227"/>
    <mergeCell ref="AX227:BB227"/>
    <mergeCell ref="BS225:BX225"/>
    <mergeCell ref="A226:B226"/>
    <mergeCell ref="C226:E226"/>
    <mergeCell ref="F226:K226"/>
    <mergeCell ref="L226:AU226"/>
    <mergeCell ref="AV226:AW226"/>
    <mergeCell ref="AX226:BB226"/>
    <mergeCell ref="BC226:BJ226"/>
    <mergeCell ref="BK226:BR226"/>
    <mergeCell ref="BS226:BX226"/>
    <mergeCell ref="BK224:BR224"/>
    <mergeCell ref="BS224:BX224"/>
    <mergeCell ref="A225:B225"/>
    <mergeCell ref="C225:E225"/>
    <mergeCell ref="F225:K225"/>
    <mergeCell ref="L225:AU225"/>
    <mergeCell ref="AV225:AW225"/>
    <mergeCell ref="AX225:BB225"/>
    <mergeCell ref="BC225:BJ225"/>
    <mergeCell ref="BK225:BR225"/>
    <mergeCell ref="BC223:BJ223"/>
    <mergeCell ref="BK223:BR223"/>
    <mergeCell ref="BS223:BX223"/>
    <mergeCell ref="A224:B224"/>
    <mergeCell ref="C224:E224"/>
    <mergeCell ref="F224:K224"/>
    <mergeCell ref="L224:AU224"/>
    <mergeCell ref="AV224:AW224"/>
    <mergeCell ref="AX224:BB224"/>
    <mergeCell ref="BC224:BJ224"/>
    <mergeCell ref="A223:B223"/>
    <mergeCell ref="C223:E223"/>
    <mergeCell ref="F223:K223"/>
    <mergeCell ref="L223:AU223"/>
    <mergeCell ref="AV223:AW223"/>
    <mergeCell ref="AX223:BB223"/>
    <mergeCell ref="BS221:BX221"/>
    <mergeCell ref="A222:B222"/>
    <mergeCell ref="C222:E222"/>
    <mergeCell ref="F222:K222"/>
    <mergeCell ref="L222:AU222"/>
    <mergeCell ref="AV222:AW222"/>
    <mergeCell ref="AX222:BB222"/>
    <mergeCell ref="BC222:BJ222"/>
    <mergeCell ref="BK222:BR222"/>
    <mergeCell ref="BS222:BX222"/>
    <mergeCell ref="BK220:BR220"/>
    <mergeCell ref="BS220:BX220"/>
    <mergeCell ref="A221:B221"/>
    <mergeCell ref="C221:E221"/>
    <mergeCell ref="F221:K221"/>
    <mergeCell ref="L221:AU221"/>
    <mergeCell ref="AV221:AW221"/>
    <mergeCell ref="AX221:BB221"/>
    <mergeCell ref="BC221:BJ221"/>
    <mergeCell ref="BK221:BR221"/>
    <mergeCell ref="BC219:BJ219"/>
    <mergeCell ref="BK219:BR219"/>
    <mergeCell ref="BS219:BX219"/>
    <mergeCell ref="A220:B220"/>
    <mergeCell ref="C220:E220"/>
    <mergeCell ref="F220:K220"/>
    <mergeCell ref="L220:AU220"/>
    <mergeCell ref="AV220:AW220"/>
    <mergeCell ref="AX220:BB220"/>
    <mergeCell ref="BC220:BJ220"/>
    <mergeCell ref="A219:B219"/>
    <mergeCell ref="C219:E219"/>
    <mergeCell ref="F219:K219"/>
    <mergeCell ref="L219:AU219"/>
    <mergeCell ref="AV219:AW219"/>
    <mergeCell ref="AX219:BB219"/>
    <mergeCell ref="BS217:BX217"/>
    <mergeCell ref="A218:B218"/>
    <mergeCell ref="C218:E218"/>
    <mergeCell ref="F218:K218"/>
    <mergeCell ref="L218:AU218"/>
    <mergeCell ref="AV218:AW218"/>
    <mergeCell ref="AX218:BB218"/>
    <mergeCell ref="BC218:BJ218"/>
    <mergeCell ref="BK218:BR218"/>
    <mergeCell ref="BS218:BX218"/>
    <mergeCell ref="BK216:BR216"/>
    <mergeCell ref="BS216:BX216"/>
    <mergeCell ref="A217:B217"/>
    <mergeCell ref="C217:E217"/>
    <mergeCell ref="F217:K217"/>
    <mergeCell ref="L217:AU217"/>
    <mergeCell ref="AV217:AW217"/>
    <mergeCell ref="AX217:BB217"/>
    <mergeCell ref="BC217:BJ217"/>
    <mergeCell ref="BK217:BR217"/>
    <mergeCell ref="BC215:BJ215"/>
    <mergeCell ref="BK215:BR215"/>
    <mergeCell ref="BS215:BX215"/>
    <mergeCell ref="A216:B216"/>
    <mergeCell ref="C216:E216"/>
    <mergeCell ref="F216:K216"/>
    <mergeCell ref="L216:AU216"/>
    <mergeCell ref="AV216:AW216"/>
    <mergeCell ref="AX216:BB216"/>
    <mergeCell ref="BC216:BJ216"/>
    <mergeCell ref="A215:B215"/>
    <mergeCell ref="C215:E215"/>
    <mergeCell ref="F215:K215"/>
    <mergeCell ref="L215:AU215"/>
    <mergeCell ref="AV215:AW215"/>
    <mergeCell ref="AX215:BB215"/>
    <mergeCell ref="BS213:BX213"/>
    <mergeCell ref="A214:B214"/>
    <mergeCell ref="C214:E214"/>
    <mergeCell ref="F214:K214"/>
    <mergeCell ref="L214:AU214"/>
    <mergeCell ref="AV214:AW214"/>
    <mergeCell ref="AX214:BB214"/>
    <mergeCell ref="BC214:BJ214"/>
    <mergeCell ref="BK214:BR214"/>
    <mergeCell ref="BS214:BX214"/>
    <mergeCell ref="BK212:BR212"/>
    <mergeCell ref="BS212:BX212"/>
    <mergeCell ref="A213:B213"/>
    <mergeCell ref="C213:E213"/>
    <mergeCell ref="F213:K213"/>
    <mergeCell ref="L213:AU213"/>
    <mergeCell ref="AV213:AW213"/>
    <mergeCell ref="AX213:BB213"/>
    <mergeCell ref="BC213:BJ213"/>
    <mergeCell ref="BK213:BR213"/>
    <mergeCell ref="BC211:BJ211"/>
    <mergeCell ref="BK211:BR211"/>
    <mergeCell ref="BS211:BX211"/>
    <mergeCell ref="A212:B212"/>
    <mergeCell ref="C212:E212"/>
    <mergeCell ref="F212:K212"/>
    <mergeCell ref="L212:AU212"/>
    <mergeCell ref="AV212:AW212"/>
    <mergeCell ref="AX212:BB212"/>
    <mergeCell ref="BC212:BJ212"/>
    <mergeCell ref="A211:B211"/>
    <mergeCell ref="C211:E211"/>
    <mergeCell ref="F211:K211"/>
    <mergeCell ref="L211:AU211"/>
    <mergeCell ref="AV211:AW211"/>
    <mergeCell ref="AX211:BB211"/>
    <mergeCell ref="BS209:BX209"/>
    <mergeCell ref="A210:B210"/>
    <mergeCell ref="C210:E210"/>
    <mergeCell ref="F210:K210"/>
    <mergeCell ref="L210:AU210"/>
    <mergeCell ref="AV210:AW210"/>
    <mergeCell ref="AX210:BB210"/>
    <mergeCell ref="BC210:BJ210"/>
    <mergeCell ref="BK210:BR210"/>
    <mergeCell ref="BS210:BX210"/>
    <mergeCell ref="BK208:BR208"/>
    <mergeCell ref="BS208:BX208"/>
    <mergeCell ref="A209:B209"/>
    <mergeCell ref="C209:E209"/>
    <mergeCell ref="F209:K209"/>
    <mergeCell ref="L209:AU209"/>
    <mergeCell ref="AV209:AW209"/>
    <mergeCell ref="AX209:BB209"/>
    <mergeCell ref="BC209:BJ209"/>
    <mergeCell ref="BK209:BR209"/>
    <mergeCell ref="BC207:BJ207"/>
    <mergeCell ref="BK207:BR207"/>
    <mergeCell ref="BS207:BX207"/>
    <mergeCell ref="A208:B208"/>
    <mergeCell ref="C208:E208"/>
    <mergeCell ref="F208:K208"/>
    <mergeCell ref="L208:AU208"/>
    <mergeCell ref="AV208:AW208"/>
    <mergeCell ref="AX208:BB208"/>
    <mergeCell ref="BC208:BJ208"/>
    <mergeCell ref="A207:B207"/>
    <mergeCell ref="C207:E207"/>
    <mergeCell ref="F207:K207"/>
    <mergeCell ref="L207:AU207"/>
    <mergeCell ref="AV207:AW207"/>
    <mergeCell ref="AX207:BB207"/>
    <mergeCell ref="BS205:BX205"/>
    <mergeCell ref="A206:B206"/>
    <mergeCell ref="C206:E206"/>
    <mergeCell ref="F206:K206"/>
    <mergeCell ref="L206:AU206"/>
    <mergeCell ref="AV206:AW206"/>
    <mergeCell ref="AX206:BB206"/>
    <mergeCell ref="BC206:BJ206"/>
    <mergeCell ref="BK206:BR206"/>
    <mergeCell ref="BS206:BX206"/>
    <mergeCell ref="BK204:BR204"/>
    <mergeCell ref="BS204:BX204"/>
    <mergeCell ref="A205:B205"/>
    <mergeCell ref="C205:E205"/>
    <mergeCell ref="F205:K205"/>
    <mergeCell ref="L205:AU205"/>
    <mergeCell ref="AV205:AW205"/>
    <mergeCell ref="AX205:BB205"/>
    <mergeCell ref="BC205:BJ205"/>
    <mergeCell ref="BK205:BR205"/>
    <mergeCell ref="BC203:BJ203"/>
    <mergeCell ref="BK203:BR203"/>
    <mergeCell ref="BS203:BX203"/>
    <mergeCell ref="A204:B204"/>
    <mergeCell ref="C204:E204"/>
    <mergeCell ref="F204:K204"/>
    <mergeCell ref="L204:AU204"/>
    <mergeCell ref="AV204:AW204"/>
    <mergeCell ref="AX204:BB204"/>
    <mergeCell ref="BC204:BJ204"/>
    <mergeCell ref="A203:B203"/>
    <mergeCell ref="C203:E203"/>
    <mergeCell ref="F203:K203"/>
    <mergeCell ref="L203:AU203"/>
    <mergeCell ref="AV203:AW203"/>
    <mergeCell ref="AX203:BB203"/>
    <mergeCell ref="BS201:BX201"/>
    <mergeCell ref="A202:B202"/>
    <mergeCell ref="C202:E202"/>
    <mergeCell ref="F202:K202"/>
    <mergeCell ref="L202:AU202"/>
    <mergeCell ref="AV202:AW202"/>
    <mergeCell ref="AX202:BB202"/>
    <mergeCell ref="BC202:BJ202"/>
    <mergeCell ref="BK202:BR202"/>
    <mergeCell ref="BS202:BX202"/>
    <mergeCell ref="BK200:BR200"/>
    <mergeCell ref="BS200:BX200"/>
    <mergeCell ref="A201:B201"/>
    <mergeCell ref="C201:E201"/>
    <mergeCell ref="F201:K201"/>
    <mergeCell ref="L201:AU201"/>
    <mergeCell ref="AV201:AW201"/>
    <mergeCell ref="AX201:BB201"/>
    <mergeCell ref="BC201:BJ201"/>
    <mergeCell ref="BK201:BR201"/>
    <mergeCell ref="BC199:BJ199"/>
    <mergeCell ref="BK199:BR199"/>
    <mergeCell ref="BS199:BX199"/>
    <mergeCell ref="A200:B200"/>
    <mergeCell ref="C200:E200"/>
    <mergeCell ref="F200:K200"/>
    <mergeCell ref="L200:AU200"/>
    <mergeCell ref="AV200:AW200"/>
    <mergeCell ref="AX200:BB200"/>
    <mergeCell ref="BC200:BJ200"/>
    <mergeCell ref="A199:B199"/>
    <mergeCell ref="C199:E199"/>
    <mergeCell ref="F199:K199"/>
    <mergeCell ref="L199:AU199"/>
    <mergeCell ref="AV199:AW199"/>
    <mergeCell ref="AX199:BB199"/>
    <mergeCell ref="BS197:BX197"/>
    <mergeCell ref="A198:B198"/>
    <mergeCell ref="C198:E198"/>
    <mergeCell ref="F198:K198"/>
    <mergeCell ref="L198:AU198"/>
    <mergeCell ref="AV198:AW198"/>
    <mergeCell ref="AX198:BB198"/>
    <mergeCell ref="BC198:BJ198"/>
    <mergeCell ref="BK198:BR198"/>
    <mergeCell ref="BS198:BX198"/>
    <mergeCell ref="BK196:BR196"/>
    <mergeCell ref="BS196:BX196"/>
    <mergeCell ref="A197:B197"/>
    <mergeCell ref="C197:E197"/>
    <mergeCell ref="F197:K197"/>
    <mergeCell ref="L197:AU197"/>
    <mergeCell ref="AV197:AW197"/>
    <mergeCell ref="AX197:BB197"/>
    <mergeCell ref="BC197:BJ197"/>
    <mergeCell ref="BK197:BR197"/>
    <mergeCell ref="BC195:BJ195"/>
    <mergeCell ref="BK195:BR195"/>
    <mergeCell ref="BS195:BX195"/>
    <mergeCell ref="A196:B196"/>
    <mergeCell ref="C196:E196"/>
    <mergeCell ref="F196:K196"/>
    <mergeCell ref="L196:AU196"/>
    <mergeCell ref="AV196:AW196"/>
    <mergeCell ref="AX196:BB196"/>
    <mergeCell ref="BC196:BJ196"/>
    <mergeCell ref="A195:B195"/>
    <mergeCell ref="C195:E195"/>
    <mergeCell ref="F195:K195"/>
    <mergeCell ref="L195:AU195"/>
    <mergeCell ref="AV195:AW195"/>
    <mergeCell ref="AX195:BB195"/>
    <mergeCell ref="BS193:BX193"/>
    <mergeCell ref="A194:B194"/>
    <mergeCell ref="C194:E194"/>
    <mergeCell ref="F194:K194"/>
    <mergeCell ref="L194:AU194"/>
    <mergeCell ref="AV194:AW194"/>
    <mergeCell ref="AX194:BB194"/>
    <mergeCell ref="BC194:BJ194"/>
    <mergeCell ref="BK194:BR194"/>
    <mergeCell ref="BS194:BX194"/>
    <mergeCell ref="BK192:BR192"/>
    <mergeCell ref="BS192:BX192"/>
    <mergeCell ref="A193:B193"/>
    <mergeCell ref="C193:E193"/>
    <mergeCell ref="F193:K193"/>
    <mergeCell ref="L193:AU193"/>
    <mergeCell ref="AV193:AW193"/>
    <mergeCell ref="AX193:BB193"/>
    <mergeCell ref="BC193:BJ193"/>
    <mergeCell ref="BK193:BR193"/>
    <mergeCell ref="BC191:BJ191"/>
    <mergeCell ref="BK191:BR191"/>
    <mergeCell ref="BS191:BX191"/>
    <mergeCell ref="A192:B192"/>
    <mergeCell ref="C192:E192"/>
    <mergeCell ref="F192:K192"/>
    <mergeCell ref="L192:AU192"/>
    <mergeCell ref="AV192:AW192"/>
    <mergeCell ref="AX192:BB192"/>
    <mergeCell ref="BC192:BJ192"/>
    <mergeCell ref="A191:B191"/>
    <mergeCell ref="C191:E191"/>
    <mergeCell ref="F191:K191"/>
    <mergeCell ref="L191:AU191"/>
    <mergeCell ref="AV191:AW191"/>
    <mergeCell ref="AX191:BB191"/>
    <mergeCell ref="BS189:BX189"/>
    <mergeCell ref="A190:B190"/>
    <mergeCell ref="C190:E190"/>
    <mergeCell ref="F190:K190"/>
    <mergeCell ref="L190:AU190"/>
    <mergeCell ref="AV190:AW190"/>
    <mergeCell ref="AX190:BB190"/>
    <mergeCell ref="BC190:BJ190"/>
    <mergeCell ref="BK190:BR190"/>
    <mergeCell ref="BS190:BX190"/>
    <mergeCell ref="BK188:BR188"/>
    <mergeCell ref="BS188:BX188"/>
    <mergeCell ref="A189:B189"/>
    <mergeCell ref="C189:E189"/>
    <mergeCell ref="F189:K189"/>
    <mergeCell ref="L189:AU189"/>
    <mergeCell ref="AV189:AW189"/>
    <mergeCell ref="AX189:BB189"/>
    <mergeCell ref="BC189:BJ189"/>
    <mergeCell ref="BK189:BR189"/>
    <mergeCell ref="BC187:BJ187"/>
    <mergeCell ref="BK187:BR187"/>
    <mergeCell ref="BS187:BX187"/>
    <mergeCell ref="A188:B188"/>
    <mergeCell ref="C188:E188"/>
    <mergeCell ref="F188:K188"/>
    <mergeCell ref="L188:AU188"/>
    <mergeCell ref="AV188:AW188"/>
    <mergeCell ref="AX188:BB188"/>
    <mergeCell ref="BC188:BJ188"/>
    <mergeCell ref="A187:B187"/>
    <mergeCell ref="C187:E187"/>
    <mergeCell ref="F187:K187"/>
    <mergeCell ref="L187:AU187"/>
    <mergeCell ref="AV187:AW187"/>
    <mergeCell ref="AX187:BB187"/>
    <mergeCell ref="BS185:BX185"/>
    <mergeCell ref="A186:B186"/>
    <mergeCell ref="C186:E186"/>
    <mergeCell ref="F186:K186"/>
    <mergeCell ref="L186:AU186"/>
    <mergeCell ref="AV186:AW186"/>
    <mergeCell ref="AX186:BB186"/>
    <mergeCell ref="BC186:BJ186"/>
    <mergeCell ref="BK186:BR186"/>
    <mergeCell ref="BS186:BX186"/>
    <mergeCell ref="BK184:BR184"/>
    <mergeCell ref="BS184:BX184"/>
    <mergeCell ref="A185:B185"/>
    <mergeCell ref="C185:E185"/>
    <mergeCell ref="F185:K185"/>
    <mergeCell ref="L185:AU185"/>
    <mergeCell ref="AV185:AW185"/>
    <mergeCell ref="AX185:BB185"/>
    <mergeCell ref="BC185:BJ185"/>
    <mergeCell ref="BK185:BR185"/>
    <mergeCell ref="BC183:BJ183"/>
    <mergeCell ref="BK183:BR183"/>
    <mergeCell ref="BS183:BX183"/>
    <mergeCell ref="A184:B184"/>
    <mergeCell ref="C184:E184"/>
    <mergeCell ref="F184:K184"/>
    <mergeCell ref="L184:AU184"/>
    <mergeCell ref="AV184:AW184"/>
    <mergeCell ref="AX184:BB184"/>
    <mergeCell ref="BC184:BJ184"/>
    <mergeCell ref="A183:B183"/>
    <mergeCell ref="C183:E183"/>
    <mergeCell ref="F183:K183"/>
    <mergeCell ref="L183:AU183"/>
    <mergeCell ref="AV183:AW183"/>
    <mergeCell ref="AX183:BB183"/>
    <mergeCell ref="BS181:BX181"/>
    <mergeCell ref="A182:B182"/>
    <mergeCell ref="C182:E182"/>
    <mergeCell ref="F182:K182"/>
    <mergeCell ref="L182:AU182"/>
    <mergeCell ref="AV182:AW182"/>
    <mergeCell ref="AX182:BB182"/>
    <mergeCell ref="BC182:BJ182"/>
    <mergeCell ref="BK182:BR182"/>
    <mergeCell ref="BS182:BX182"/>
    <mergeCell ref="BK180:BR180"/>
    <mergeCell ref="BS180:BX180"/>
    <mergeCell ref="A181:B181"/>
    <mergeCell ref="C181:E181"/>
    <mergeCell ref="F181:K181"/>
    <mergeCell ref="L181:AU181"/>
    <mergeCell ref="AV181:AW181"/>
    <mergeCell ref="AX181:BB181"/>
    <mergeCell ref="BC181:BJ181"/>
    <mergeCell ref="BK181:BR181"/>
    <mergeCell ref="BC179:BJ179"/>
    <mergeCell ref="BK179:BR179"/>
    <mergeCell ref="BS179:BX179"/>
    <mergeCell ref="A180:B180"/>
    <mergeCell ref="C180:E180"/>
    <mergeCell ref="F180:K180"/>
    <mergeCell ref="L180:AU180"/>
    <mergeCell ref="AV180:AW180"/>
    <mergeCell ref="AX180:BB180"/>
    <mergeCell ref="BC180:BJ180"/>
    <mergeCell ref="A179:B179"/>
    <mergeCell ref="C179:E179"/>
    <mergeCell ref="F179:K179"/>
    <mergeCell ref="L179:AU179"/>
    <mergeCell ref="AV179:AW179"/>
    <mergeCell ref="AX179:BB179"/>
    <mergeCell ref="BS177:BX177"/>
    <mergeCell ref="A178:B178"/>
    <mergeCell ref="C178:E178"/>
    <mergeCell ref="F178:K178"/>
    <mergeCell ref="L178:AU178"/>
    <mergeCell ref="AV178:AW178"/>
    <mergeCell ref="AX178:BB178"/>
    <mergeCell ref="BC178:BJ178"/>
    <mergeCell ref="BK178:BR178"/>
    <mergeCell ref="BS178:BX178"/>
    <mergeCell ref="BK176:BR176"/>
    <mergeCell ref="BS176:BX176"/>
    <mergeCell ref="A177:B177"/>
    <mergeCell ref="C177:E177"/>
    <mergeCell ref="F177:K177"/>
    <mergeCell ref="L177:AU177"/>
    <mergeCell ref="AV177:AW177"/>
    <mergeCell ref="AX177:BB177"/>
    <mergeCell ref="BC177:BJ177"/>
    <mergeCell ref="BK177:BR177"/>
    <mergeCell ref="BC175:BJ175"/>
    <mergeCell ref="BK175:BR175"/>
    <mergeCell ref="BS175:BX175"/>
    <mergeCell ref="A176:B176"/>
    <mergeCell ref="C176:E176"/>
    <mergeCell ref="F176:K176"/>
    <mergeCell ref="L176:AU176"/>
    <mergeCell ref="AV176:AW176"/>
    <mergeCell ref="AX176:BB176"/>
    <mergeCell ref="BC176:BJ176"/>
    <mergeCell ref="A175:B175"/>
    <mergeCell ref="C175:E175"/>
    <mergeCell ref="F175:K175"/>
    <mergeCell ref="L175:AU175"/>
    <mergeCell ref="AV175:AW175"/>
    <mergeCell ref="AX175:BB175"/>
    <mergeCell ref="BS173:BX173"/>
    <mergeCell ref="A174:B174"/>
    <mergeCell ref="C174:E174"/>
    <mergeCell ref="F174:K174"/>
    <mergeCell ref="L174:AU174"/>
    <mergeCell ref="AV174:AW174"/>
    <mergeCell ref="AX174:BB174"/>
    <mergeCell ref="BC174:BJ174"/>
    <mergeCell ref="BK174:BR174"/>
    <mergeCell ref="BS174:BX174"/>
    <mergeCell ref="BK172:BR172"/>
    <mergeCell ref="BS172:BX172"/>
    <mergeCell ref="A173:B173"/>
    <mergeCell ref="C173:E173"/>
    <mergeCell ref="F173:K173"/>
    <mergeCell ref="L173:AU173"/>
    <mergeCell ref="AV173:AW173"/>
    <mergeCell ref="AX173:BB173"/>
    <mergeCell ref="BC173:BJ173"/>
    <mergeCell ref="BK173:BR173"/>
    <mergeCell ref="BC171:BJ171"/>
    <mergeCell ref="BK171:BR171"/>
    <mergeCell ref="BS171:BX171"/>
    <mergeCell ref="A172:B172"/>
    <mergeCell ref="C172:E172"/>
    <mergeCell ref="F172:K172"/>
    <mergeCell ref="L172:AU172"/>
    <mergeCell ref="AV172:AW172"/>
    <mergeCell ref="AX172:BB172"/>
    <mergeCell ref="BC172:BJ172"/>
    <mergeCell ref="A171:B171"/>
    <mergeCell ref="C171:E171"/>
    <mergeCell ref="F171:K171"/>
    <mergeCell ref="L171:AU171"/>
    <mergeCell ref="AV171:AW171"/>
    <mergeCell ref="AX171:BB171"/>
    <mergeCell ref="BS169:BX169"/>
    <mergeCell ref="A170:B170"/>
    <mergeCell ref="C170:E170"/>
    <mergeCell ref="F170:K170"/>
    <mergeCell ref="L170:AU170"/>
    <mergeCell ref="AV170:AW170"/>
    <mergeCell ref="AX170:BB170"/>
    <mergeCell ref="BC170:BJ170"/>
    <mergeCell ref="BK170:BR170"/>
    <mergeCell ref="BS170:BX170"/>
    <mergeCell ref="BK168:BR168"/>
    <mergeCell ref="BS168:BX168"/>
    <mergeCell ref="A169:B169"/>
    <mergeCell ref="C169:E169"/>
    <mergeCell ref="F169:K169"/>
    <mergeCell ref="L169:AU169"/>
    <mergeCell ref="AV169:AW169"/>
    <mergeCell ref="AX169:BB169"/>
    <mergeCell ref="BC169:BJ169"/>
    <mergeCell ref="BK169:BR169"/>
    <mergeCell ref="BC167:BJ167"/>
    <mergeCell ref="BK167:BR167"/>
    <mergeCell ref="BS167:BX167"/>
    <mergeCell ref="A168:B168"/>
    <mergeCell ref="C168:E168"/>
    <mergeCell ref="F168:K168"/>
    <mergeCell ref="L168:AU168"/>
    <mergeCell ref="AV168:AW168"/>
    <mergeCell ref="AX168:BB168"/>
    <mergeCell ref="BC168:BJ168"/>
    <mergeCell ref="A167:B167"/>
    <mergeCell ref="C167:E167"/>
    <mergeCell ref="F167:K167"/>
    <mergeCell ref="L167:AU167"/>
    <mergeCell ref="AV167:AW167"/>
    <mergeCell ref="AX167:BB167"/>
    <mergeCell ref="BS165:BX165"/>
    <mergeCell ref="A166:B166"/>
    <mergeCell ref="C166:E166"/>
    <mergeCell ref="F166:K166"/>
    <mergeCell ref="L166:AU166"/>
    <mergeCell ref="AV166:AW166"/>
    <mergeCell ref="AX166:BB166"/>
    <mergeCell ref="BC166:BJ166"/>
    <mergeCell ref="BK166:BR166"/>
    <mergeCell ref="BS166:BX166"/>
    <mergeCell ref="BK164:BR164"/>
    <mergeCell ref="BS164:BX164"/>
    <mergeCell ref="A165:B165"/>
    <mergeCell ref="C165:E165"/>
    <mergeCell ref="F165:K165"/>
    <mergeCell ref="L165:AU165"/>
    <mergeCell ref="AV165:AW165"/>
    <mergeCell ref="AX165:BB165"/>
    <mergeCell ref="BC165:BJ165"/>
    <mergeCell ref="BK165:BR165"/>
    <mergeCell ref="BC163:BJ163"/>
    <mergeCell ref="BK163:BR163"/>
    <mergeCell ref="BS163:BX163"/>
    <mergeCell ref="A164:B164"/>
    <mergeCell ref="C164:E164"/>
    <mergeCell ref="F164:K164"/>
    <mergeCell ref="L164:AU164"/>
    <mergeCell ref="AV164:AW164"/>
    <mergeCell ref="AX164:BB164"/>
    <mergeCell ref="BC164:BJ164"/>
    <mergeCell ref="A163:B163"/>
    <mergeCell ref="C163:E163"/>
    <mergeCell ref="F163:K163"/>
    <mergeCell ref="L163:AU163"/>
    <mergeCell ref="AV163:AW163"/>
    <mergeCell ref="AX163:BB163"/>
    <mergeCell ref="BS161:BX161"/>
    <mergeCell ref="A162:B162"/>
    <mergeCell ref="C162:E162"/>
    <mergeCell ref="F162:K162"/>
    <mergeCell ref="L162:AU162"/>
    <mergeCell ref="AV162:AW162"/>
    <mergeCell ref="AX162:BB162"/>
    <mergeCell ref="BC162:BJ162"/>
    <mergeCell ref="BK162:BR162"/>
    <mergeCell ref="BS162:BX162"/>
    <mergeCell ref="BK160:BR160"/>
    <mergeCell ref="BS160:BX160"/>
    <mergeCell ref="A161:B161"/>
    <mergeCell ref="C161:E161"/>
    <mergeCell ref="F161:K161"/>
    <mergeCell ref="L161:AU161"/>
    <mergeCell ref="AV161:AW161"/>
    <mergeCell ref="AX161:BB161"/>
    <mergeCell ref="BC161:BJ161"/>
    <mergeCell ref="BK161:BR161"/>
    <mergeCell ref="BC159:BJ159"/>
    <mergeCell ref="BK159:BR159"/>
    <mergeCell ref="BS159:BX159"/>
    <mergeCell ref="A160:B160"/>
    <mergeCell ref="C160:E160"/>
    <mergeCell ref="F160:K160"/>
    <mergeCell ref="L160:AU160"/>
    <mergeCell ref="AV160:AW160"/>
    <mergeCell ref="AX160:BB160"/>
    <mergeCell ref="BC160:BJ160"/>
    <mergeCell ref="A159:B159"/>
    <mergeCell ref="C159:E159"/>
    <mergeCell ref="F159:K159"/>
    <mergeCell ref="L159:AU159"/>
    <mergeCell ref="AV159:AW159"/>
    <mergeCell ref="AX159:BB159"/>
    <mergeCell ref="BS157:BX157"/>
    <mergeCell ref="A158:B158"/>
    <mergeCell ref="C158:E158"/>
    <mergeCell ref="F158:K158"/>
    <mergeCell ref="L158:AU158"/>
    <mergeCell ref="AV158:AW158"/>
    <mergeCell ref="AX158:BB158"/>
    <mergeCell ref="BC158:BJ158"/>
    <mergeCell ref="BK158:BR158"/>
    <mergeCell ref="BS158:BX158"/>
    <mergeCell ref="BK156:BR156"/>
    <mergeCell ref="BS156:BX156"/>
    <mergeCell ref="A157:B157"/>
    <mergeCell ref="C157:E157"/>
    <mergeCell ref="F157:K157"/>
    <mergeCell ref="L157:AU157"/>
    <mergeCell ref="AV157:AW157"/>
    <mergeCell ref="AX157:BB157"/>
    <mergeCell ref="BC157:BJ157"/>
    <mergeCell ref="BK157:BR157"/>
    <mergeCell ref="BC155:BJ155"/>
    <mergeCell ref="BK155:BR155"/>
    <mergeCell ref="BS155:BX155"/>
    <mergeCell ref="A156:B156"/>
    <mergeCell ref="C156:E156"/>
    <mergeCell ref="F156:K156"/>
    <mergeCell ref="L156:AU156"/>
    <mergeCell ref="AV156:AW156"/>
    <mergeCell ref="AX156:BB156"/>
    <mergeCell ref="BC156:BJ156"/>
    <mergeCell ref="A155:B155"/>
    <mergeCell ref="C155:E155"/>
    <mergeCell ref="F155:K155"/>
    <mergeCell ref="L155:AU155"/>
    <mergeCell ref="AV155:AW155"/>
    <mergeCell ref="AX155:BB155"/>
    <mergeCell ref="BS153:BX153"/>
    <mergeCell ref="A154:B154"/>
    <mergeCell ref="C154:E154"/>
    <mergeCell ref="F154:K154"/>
    <mergeCell ref="L154:AU154"/>
    <mergeCell ref="AV154:AW154"/>
    <mergeCell ref="AX154:BB154"/>
    <mergeCell ref="BC154:BJ154"/>
    <mergeCell ref="BK154:BR154"/>
    <mergeCell ref="BS154:BX154"/>
    <mergeCell ref="BK152:BR152"/>
    <mergeCell ref="BS152:BX152"/>
    <mergeCell ref="A153:B153"/>
    <mergeCell ref="C153:E153"/>
    <mergeCell ref="F153:K153"/>
    <mergeCell ref="L153:AU153"/>
    <mergeCell ref="AV153:AW153"/>
    <mergeCell ref="AX153:BB153"/>
    <mergeCell ref="BC153:BJ153"/>
    <mergeCell ref="BK153:BR153"/>
    <mergeCell ref="BC151:BJ151"/>
    <mergeCell ref="BK151:BR151"/>
    <mergeCell ref="BS151:BX151"/>
    <mergeCell ref="A152:B152"/>
    <mergeCell ref="C152:E152"/>
    <mergeCell ref="F152:K152"/>
    <mergeCell ref="L152:AU152"/>
    <mergeCell ref="AV152:AW152"/>
    <mergeCell ref="AX152:BB152"/>
    <mergeCell ref="BC152:BJ152"/>
    <mergeCell ref="A151:B151"/>
    <mergeCell ref="C151:E151"/>
    <mergeCell ref="F151:K151"/>
    <mergeCell ref="L151:AU151"/>
    <mergeCell ref="AV151:AW151"/>
    <mergeCell ref="AX151:BB151"/>
    <mergeCell ref="BS149:BX149"/>
    <mergeCell ref="A150:B150"/>
    <mergeCell ref="C150:E150"/>
    <mergeCell ref="F150:K150"/>
    <mergeCell ref="L150:AU150"/>
    <mergeCell ref="AV150:AW150"/>
    <mergeCell ref="AX150:BB150"/>
    <mergeCell ref="BC150:BJ150"/>
    <mergeCell ref="BK150:BR150"/>
    <mergeCell ref="BS150:BX150"/>
    <mergeCell ref="BK148:BR148"/>
    <mergeCell ref="BS148:BX148"/>
    <mergeCell ref="A149:B149"/>
    <mergeCell ref="C149:E149"/>
    <mergeCell ref="F149:K149"/>
    <mergeCell ref="L149:AU149"/>
    <mergeCell ref="AV149:AW149"/>
    <mergeCell ref="AX149:BB149"/>
    <mergeCell ref="BC149:BJ149"/>
    <mergeCell ref="BK149:BR149"/>
    <mergeCell ref="BC147:BJ147"/>
    <mergeCell ref="BK147:BR147"/>
    <mergeCell ref="BS147:BX147"/>
    <mergeCell ref="A148:B148"/>
    <mergeCell ref="C148:E148"/>
    <mergeCell ref="F148:K148"/>
    <mergeCell ref="L148:AU148"/>
    <mergeCell ref="AV148:AW148"/>
    <mergeCell ref="AX148:BB148"/>
    <mergeCell ref="BC148:BJ148"/>
    <mergeCell ref="A147:B147"/>
    <mergeCell ref="C147:E147"/>
    <mergeCell ref="F147:K147"/>
    <mergeCell ref="L147:AU147"/>
    <mergeCell ref="AV147:AW147"/>
    <mergeCell ref="AX147:BB147"/>
    <mergeCell ref="BS145:BX145"/>
    <mergeCell ref="A146:B146"/>
    <mergeCell ref="C146:E146"/>
    <mergeCell ref="F146:K146"/>
    <mergeCell ref="L146:AU146"/>
    <mergeCell ref="AV146:AW146"/>
    <mergeCell ref="AX146:BB146"/>
    <mergeCell ref="BC146:BJ146"/>
    <mergeCell ref="BK146:BR146"/>
    <mergeCell ref="BS146:BX146"/>
    <mergeCell ref="BK144:BR144"/>
    <mergeCell ref="BS144:BX144"/>
    <mergeCell ref="A145:B145"/>
    <mergeCell ref="C145:E145"/>
    <mergeCell ref="F145:K145"/>
    <mergeCell ref="L145:AU145"/>
    <mergeCell ref="AV145:AW145"/>
    <mergeCell ref="AX145:BB145"/>
    <mergeCell ref="BC145:BJ145"/>
    <mergeCell ref="BK145:BR145"/>
    <mergeCell ref="BC143:BJ143"/>
    <mergeCell ref="BK143:BR143"/>
    <mergeCell ref="BS143:BX143"/>
    <mergeCell ref="A144:B144"/>
    <mergeCell ref="C144:E144"/>
    <mergeCell ref="F144:K144"/>
    <mergeCell ref="L144:AU144"/>
    <mergeCell ref="AV144:AW144"/>
    <mergeCell ref="AX144:BB144"/>
    <mergeCell ref="BC144:BJ144"/>
    <mergeCell ref="A143:B143"/>
    <mergeCell ref="C143:E143"/>
    <mergeCell ref="F143:K143"/>
    <mergeCell ref="L143:AU143"/>
    <mergeCell ref="AV143:AW143"/>
    <mergeCell ref="AX143:BB143"/>
    <mergeCell ref="BS141:BX141"/>
    <mergeCell ref="A142:B142"/>
    <mergeCell ref="C142:E142"/>
    <mergeCell ref="F142:K142"/>
    <mergeCell ref="L142:AU142"/>
    <mergeCell ref="AV142:AW142"/>
    <mergeCell ref="AX142:BB142"/>
    <mergeCell ref="BC142:BJ142"/>
    <mergeCell ref="BK142:BR142"/>
    <mergeCell ref="BS142:BX142"/>
    <mergeCell ref="BK140:BR140"/>
    <mergeCell ref="BS140:BX140"/>
    <mergeCell ref="A141:B141"/>
    <mergeCell ref="C141:E141"/>
    <mergeCell ref="F141:K141"/>
    <mergeCell ref="L141:AU141"/>
    <mergeCell ref="AV141:AW141"/>
    <mergeCell ref="AX141:BB141"/>
    <mergeCell ref="BC141:BJ141"/>
    <mergeCell ref="BK141:BR141"/>
    <mergeCell ref="BC139:BJ139"/>
    <mergeCell ref="BK139:BR139"/>
    <mergeCell ref="BS139:BX139"/>
    <mergeCell ref="A140:B140"/>
    <mergeCell ref="C140:E140"/>
    <mergeCell ref="F140:K140"/>
    <mergeCell ref="L140:AU140"/>
    <mergeCell ref="AV140:AW140"/>
    <mergeCell ref="AX140:BB140"/>
    <mergeCell ref="BC140:BJ140"/>
    <mergeCell ref="A139:B139"/>
    <mergeCell ref="C139:E139"/>
    <mergeCell ref="F139:K139"/>
    <mergeCell ref="L139:AU139"/>
    <mergeCell ref="AV139:AW139"/>
    <mergeCell ref="AX139:BB139"/>
    <mergeCell ref="BS137:BX137"/>
    <mergeCell ref="A138:B138"/>
    <mergeCell ref="C138:E138"/>
    <mergeCell ref="F138:K138"/>
    <mergeCell ref="L138:AU138"/>
    <mergeCell ref="AV138:AW138"/>
    <mergeCell ref="AX138:BB138"/>
    <mergeCell ref="BC138:BJ138"/>
    <mergeCell ref="BK138:BR138"/>
    <mergeCell ref="BS138:BX138"/>
    <mergeCell ref="BK136:BR136"/>
    <mergeCell ref="BS136:BX136"/>
    <mergeCell ref="A137:B137"/>
    <mergeCell ref="C137:E137"/>
    <mergeCell ref="F137:K137"/>
    <mergeCell ref="L137:AU137"/>
    <mergeCell ref="AV137:AW137"/>
    <mergeCell ref="AX137:BB137"/>
    <mergeCell ref="BC137:BJ137"/>
    <mergeCell ref="BK137:BR137"/>
    <mergeCell ref="BC135:BJ135"/>
    <mergeCell ref="BK135:BR135"/>
    <mergeCell ref="BS135:BX135"/>
    <mergeCell ref="A136:B136"/>
    <mergeCell ref="C136:E136"/>
    <mergeCell ref="F136:K136"/>
    <mergeCell ref="L136:AU136"/>
    <mergeCell ref="AV136:AW136"/>
    <mergeCell ref="AX136:BB136"/>
    <mergeCell ref="BC136:BJ136"/>
    <mergeCell ref="A135:B135"/>
    <mergeCell ref="C135:E135"/>
    <mergeCell ref="F135:K135"/>
    <mergeCell ref="L135:AU135"/>
    <mergeCell ref="AV135:AW135"/>
    <mergeCell ref="AX135:BB135"/>
    <mergeCell ref="BC133:BJ133"/>
    <mergeCell ref="BK133:BR133"/>
    <mergeCell ref="BS133:BX133"/>
    <mergeCell ref="A134:K134"/>
    <mergeCell ref="L134:AU134"/>
    <mergeCell ref="AV134:BX134"/>
    <mergeCell ref="AX132:BB132"/>
    <mergeCell ref="BC132:BJ132"/>
    <mergeCell ref="BK132:BR132"/>
    <mergeCell ref="BS132:BX132"/>
    <mergeCell ref="A133:B133"/>
    <mergeCell ref="C133:E133"/>
    <mergeCell ref="F133:K133"/>
    <mergeCell ref="L133:AU133"/>
    <mergeCell ref="AV133:AW133"/>
    <mergeCell ref="AX133:BB133"/>
    <mergeCell ref="BK130:BR130"/>
    <mergeCell ref="BS130:BX130"/>
    <mergeCell ref="A131:K131"/>
    <mergeCell ref="L131:AU131"/>
    <mergeCell ref="AV131:BX131"/>
    <mergeCell ref="A132:B132"/>
    <mergeCell ref="C132:E132"/>
    <mergeCell ref="F132:K132"/>
    <mergeCell ref="L132:AU132"/>
    <mergeCell ref="AV132:AW132"/>
    <mergeCell ref="BC129:BJ129"/>
    <mergeCell ref="BK129:BR129"/>
    <mergeCell ref="BS129:BX129"/>
    <mergeCell ref="A130:B130"/>
    <mergeCell ref="C130:E130"/>
    <mergeCell ref="F130:K130"/>
    <mergeCell ref="L130:AU130"/>
    <mergeCell ref="AV130:AW130"/>
    <mergeCell ref="AX130:BB130"/>
    <mergeCell ref="BC130:BJ130"/>
    <mergeCell ref="BS127:BX127"/>
    <mergeCell ref="A128:K128"/>
    <mergeCell ref="L128:AU128"/>
    <mergeCell ref="AV128:BX128"/>
    <mergeCell ref="A129:B129"/>
    <mergeCell ref="C129:E129"/>
    <mergeCell ref="F129:K129"/>
    <mergeCell ref="L129:AU129"/>
    <mergeCell ref="AV129:AW129"/>
    <mergeCell ref="AX129:BB129"/>
    <mergeCell ref="BK126:BR126"/>
    <mergeCell ref="BS126:BX126"/>
    <mergeCell ref="A127:B127"/>
    <mergeCell ref="C127:E127"/>
    <mergeCell ref="F127:K127"/>
    <mergeCell ref="L127:AU127"/>
    <mergeCell ref="AV127:AW127"/>
    <mergeCell ref="AX127:BB127"/>
    <mergeCell ref="BC127:BJ127"/>
    <mergeCell ref="BK127:BR127"/>
    <mergeCell ref="A125:K125"/>
    <mergeCell ref="L125:AU125"/>
    <mergeCell ref="AV125:BX125"/>
    <mergeCell ref="A126:B126"/>
    <mergeCell ref="C126:E126"/>
    <mergeCell ref="F126:K126"/>
    <mergeCell ref="L126:AU126"/>
    <mergeCell ref="AV126:AW126"/>
    <mergeCell ref="AX126:BB126"/>
    <mergeCell ref="BC126:BJ126"/>
    <mergeCell ref="BS123:BX123"/>
    <mergeCell ref="A124:B124"/>
    <mergeCell ref="C124:E124"/>
    <mergeCell ref="F124:K124"/>
    <mergeCell ref="L124:AU124"/>
    <mergeCell ref="AV124:AW124"/>
    <mergeCell ref="AX124:BB124"/>
    <mergeCell ref="BC124:BJ124"/>
    <mergeCell ref="BK124:BR124"/>
    <mergeCell ref="BS124:BX124"/>
    <mergeCell ref="BK122:BR122"/>
    <mergeCell ref="BS122:BX122"/>
    <mergeCell ref="A123:B123"/>
    <mergeCell ref="C123:E123"/>
    <mergeCell ref="F123:K123"/>
    <mergeCell ref="L123:AU123"/>
    <mergeCell ref="AV123:AW123"/>
    <mergeCell ref="AX123:BB123"/>
    <mergeCell ref="BC123:BJ123"/>
    <mergeCell ref="BK123:BR123"/>
    <mergeCell ref="BC121:BJ121"/>
    <mergeCell ref="BK121:BR121"/>
    <mergeCell ref="BS121:BX121"/>
    <mergeCell ref="A122:B122"/>
    <mergeCell ref="C122:E122"/>
    <mergeCell ref="F122:K122"/>
    <mergeCell ref="L122:AU122"/>
    <mergeCell ref="AV122:AW122"/>
    <mergeCell ref="AX122:BB122"/>
    <mergeCell ref="BC122:BJ122"/>
    <mergeCell ref="BS119:BX119"/>
    <mergeCell ref="A120:K120"/>
    <mergeCell ref="L120:AU120"/>
    <mergeCell ref="AV120:BX120"/>
    <mergeCell ref="A121:B121"/>
    <mergeCell ref="C121:E121"/>
    <mergeCell ref="F121:K121"/>
    <mergeCell ref="L121:AU121"/>
    <mergeCell ref="AV121:AW121"/>
    <mergeCell ref="AX121:BB121"/>
    <mergeCell ref="BK118:BR118"/>
    <mergeCell ref="BS118:BX118"/>
    <mergeCell ref="A119:B119"/>
    <mergeCell ref="C119:E119"/>
    <mergeCell ref="F119:K119"/>
    <mergeCell ref="L119:AU119"/>
    <mergeCell ref="AV119:AW119"/>
    <mergeCell ref="AX119:BB119"/>
    <mergeCell ref="BC119:BJ119"/>
    <mergeCell ref="BK119:BR119"/>
    <mergeCell ref="A117:K117"/>
    <mergeCell ref="L117:AU117"/>
    <mergeCell ref="AV117:BX117"/>
    <mergeCell ref="A118:B118"/>
    <mergeCell ref="C118:E118"/>
    <mergeCell ref="F118:K118"/>
    <mergeCell ref="L118:AU118"/>
    <mergeCell ref="AV118:AW118"/>
    <mergeCell ref="AX118:BB118"/>
    <mergeCell ref="BC118:BJ118"/>
    <mergeCell ref="BS115:BX115"/>
    <mergeCell ref="A116:B116"/>
    <mergeCell ref="C116:E116"/>
    <mergeCell ref="F116:K116"/>
    <mergeCell ref="L116:AU116"/>
    <mergeCell ref="AV116:AW116"/>
    <mergeCell ref="AX116:BB116"/>
    <mergeCell ref="BC116:BJ116"/>
    <mergeCell ref="BK116:BR116"/>
    <mergeCell ref="BS116:BX116"/>
    <mergeCell ref="BK114:BR114"/>
    <mergeCell ref="BS114:BX114"/>
    <mergeCell ref="A115:B115"/>
    <mergeCell ref="C115:E115"/>
    <mergeCell ref="F115:K115"/>
    <mergeCell ref="L115:AU115"/>
    <mergeCell ref="AV115:AW115"/>
    <mergeCell ref="AX115:BB115"/>
    <mergeCell ref="BC115:BJ115"/>
    <mergeCell ref="BK115:BR115"/>
    <mergeCell ref="BC113:BJ113"/>
    <mergeCell ref="BK113:BR113"/>
    <mergeCell ref="BS113:BX113"/>
    <mergeCell ref="A114:B114"/>
    <mergeCell ref="C114:E114"/>
    <mergeCell ref="F114:K114"/>
    <mergeCell ref="L114:AU114"/>
    <mergeCell ref="AV114:AW114"/>
    <mergeCell ref="AX114:BB114"/>
    <mergeCell ref="BC114:BJ114"/>
    <mergeCell ref="A113:B113"/>
    <mergeCell ref="C113:E113"/>
    <mergeCell ref="F113:K113"/>
    <mergeCell ref="L113:AU113"/>
    <mergeCell ref="AV113:AW113"/>
    <mergeCell ref="AX113:BB113"/>
    <mergeCell ref="BC111:BJ111"/>
    <mergeCell ref="BK111:BR111"/>
    <mergeCell ref="BS111:BX111"/>
    <mergeCell ref="A112:K112"/>
    <mergeCell ref="L112:AU112"/>
    <mergeCell ref="AV112:BX112"/>
    <mergeCell ref="BS109:BX109"/>
    <mergeCell ref="A110:K110"/>
    <mergeCell ref="L110:AU110"/>
    <mergeCell ref="AV110:BX110"/>
    <mergeCell ref="A111:B111"/>
    <mergeCell ref="C111:E111"/>
    <mergeCell ref="F111:K111"/>
    <mergeCell ref="L111:AU111"/>
    <mergeCell ref="AV111:AW111"/>
    <mergeCell ref="AX111:BB111"/>
    <mergeCell ref="BK108:BR108"/>
    <mergeCell ref="BS108:BX108"/>
    <mergeCell ref="A109:B109"/>
    <mergeCell ref="C109:E109"/>
    <mergeCell ref="F109:K109"/>
    <mergeCell ref="L109:AU109"/>
    <mergeCell ref="AV109:AW109"/>
    <mergeCell ref="AX109:BB109"/>
    <mergeCell ref="BC109:BJ109"/>
    <mergeCell ref="BK109:BR109"/>
    <mergeCell ref="BC107:BJ107"/>
    <mergeCell ref="BK107:BR107"/>
    <mergeCell ref="BS107:BX107"/>
    <mergeCell ref="A108:B108"/>
    <mergeCell ref="C108:E108"/>
    <mergeCell ref="F108:K108"/>
    <mergeCell ref="L108:AU108"/>
    <mergeCell ref="AV108:AW108"/>
    <mergeCell ref="AX108:BB108"/>
    <mergeCell ref="BC108:BJ108"/>
    <mergeCell ref="AX106:BB106"/>
    <mergeCell ref="BC106:BJ106"/>
    <mergeCell ref="BK106:BR106"/>
    <mergeCell ref="BS106:BX106"/>
    <mergeCell ref="A107:B107"/>
    <mergeCell ref="C107:E107"/>
    <mergeCell ref="F107:K107"/>
    <mergeCell ref="L107:AU107"/>
    <mergeCell ref="AV107:AW107"/>
    <mergeCell ref="AX107:BB107"/>
    <mergeCell ref="BK104:BR104"/>
    <mergeCell ref="BS104:BX104"/>
    <mergeCell ref="A105:K105"/>
    <mergeCell ref="L105:AU105"/>
    <mergeCell ref="AV105:BX105"/>
    <mergeCell ref="A106:B106"/>
    <mergeCell ref="C106:E106"/>
    <mergeCell ref="F106:K106"/>
    <mergeCell ref="L106:AU106"/>
    <mergeCell ref="AV106:AW106"/>
    <mergeCell ref="BC103:BJ103"/>
    <mergeCell ref="BK103:BR103"/>
    <mergeCell ref="BS103:BX103"/>
    <mergeCell ref="A104:B104"/>
    <mergeCell ref="C104:E104"/>
    <mergeCell ref="F104:K104"/>
    <mergeCell ref="L104:AU104"/>
    <mergeCell ref="AV104:AW104"/>
    <mergeCell ref="AX104:BB104"/>
    <mergeCell ref="BC104:BJ104"/>
    <mergeCell ref="A103:B103"/>
    <mergeCell ref="C103:E103"/>
    <mergeCell ref="F103:K103"/>
    <mergeCell ref="L103:AU103"/>
    <mergeCell ref="AV103:AW103"/>
    <mergeCell ref="AX103:BB103"/>
    <mergeCell ref="BC101:BJ101"/>
    <mergeCell ref="BK101:BR101"/>
    <mergeCell ref="BS101:BX101"/>
    <mergeCell ref="A102:K102"/>
    <mergeCell ref="L102:AU102"/>
    <mergeCell ref="AV102:BX102"/>
    <mergeCell ref="A101:B101"/>
    <mergeCell ref="C101:E101"/>
    <mergeCell ref="F101:K101"/>
    <mergeCell ref="L101:AU101"/>
    <mergeCell ref="AV101:AW101"/>
    <mergeCell ref="AX101:BB101"/>
    <mergeCell ref="BC99:BJ99"/>
    <mergeCell ref="BK99:BR99"/>
    <mergeCell ref="BS99:BX99"/>
    <mergeCell ref="A100:K100"/>
    <mergeCell ref="L100:AU100"/>
    <mergeCell ref="AV100:BX100"/>
    <mergeCell ref="A99:B99"/>
    <mergeCell ref="C99:E99"/>
    <mergeCell ref="F99:K99"/>
    <mergeCell ref="L99:AU99"/>
    <mergeCell ref="AV99:AW99"/>
    <mergeCell ref="AX99:BB99"/>
    <mergeCell ref="BC97:BJ97"/>
    <mergeCell ref="BK97:BR97"/>
    <mergeCell ref="BS97:BX97"/>
    <mergeCell ref="A98:K98"/>
    <mergeCell ref="L98:AU98"/>
    <mergeCell ref="AV98:BX98"/>
    <mergeCell ref="A97:B97"/>
    <mergeCell ref="C97:E97"/>
    <mergeCell ref="F97:K97"/>
    <mergeCell ref="L97:AU97"/>
    <mergeCell ref="AV97:AW97"/>
    <mergeCell ref="AX97:BB97"/>
    <mergeCell ref="BS95:BX95"/>
    <mergeCell ref="A96:B96"/>
    <mergeCell ref="C96:E96"/>
    <mergeCell ref="F96:K96"/>
    <mergeCell ref="L96:AU96"/>
    <mergeCell ref="AV96:AW96"/>
    <mergeCell ref="AX96:BB96"/>
    <mergeCell ref="BC96:BJ96"/>
    <mergeCell ref="BK96:BR96"/>
    <mergeCell ref="BS96:BX96"/>
    <mergeCell ref="BK94:BR94"/>
    <mergeCell ref="BS94:BX94"/>
    <mergeCell ref="A95:B95"/>
    <mergeCell ref="C95:E95"/>
    <mergeCell ref="F95:K95"/>
    <mergeCell ref="L95:AU95"/>
    <mergeCell ref="AV95:AW95"/>
    <mergeCell ref="AX95:BB95"/>
    <mergeCell ref="BC95:BJ95"/>
    <mergeCell ref="BK95:BR95"/>
    <mergeCell ref="BC93:BJ93"/>
    <mergeCell ref="BK93:BR93"/>
    <mergeCell ref="BS93:BX93"/>
    <mergeCell ref="A94:B94"/>
    <mergeCell ref="C94:E94"/>
    <mergeCell ref="F94:K94"/>
    <mergeCell ref="L94:AU94"/>
    <mergeCell ref="AV94:AW94"/>
    <mergeCell ref="AX94:BB94"/>
    <mergeCell ref="BC94:BJ94"/>
    <mergeCell ref="A93:B93"/>
    <mergeCell ref="C93:E93"/>
    <mergeCell ref="F93:K93"/>
    <mergeCell ref="L93:AU93"/>
    <mergeCell ref="AV93:AW93"/>
    <mergeCell ref="AX93:BB93"/>
    <mergeCell ref="BS91:BX91"/>
    <mergeCell ref="A92:B92"/>
    <mergeCell ref="C92:E92"/>
    <mergeCell ref="F92:K92"/>
    <mergeCell ref="L92:AU92"/>
    <mergeCell ref="AV92:AW92"/>
    <mergeCell ref="AX92:BB92"/>
    <mergeCell ref="BC92:BJ92"/>
    <mergeCell ref="BK92:BR92"/>
    <mergeCell ref="BS92:BX92"/>
    <mergeCell ref="BK90:BR90"/>
    <mergeCell ref="BS90:BX90"/>
    <mergeCell ref="A91:B91"/>
    <mergeCell ref="C91:E91"/>
    <mergeCell ref="F91:K91"/>
    <mergeCell ref="L91:AU91"/>
    <mergeCell ref="AV91:AW91"/>
    <mergeCell ref="AX91:BB91"/>
    <mergeCell ref="BC91:BJ91"/>
    <mergeCell ref="BK91:BR91"/>
    <mergeCell ref="BC89:BJ89"/>
    <mergeCell ref="BK89:BR89"/>
    <mergeCell ref="BS89:BX89"/>
    <mergeCell ref="A90:B90"/>
    <mergeCell ref="C90:E90"/>
    <mergeCell ref="F90:K90"/>
    <mergeCell ref="L90:AU90"/>
    <mergeCell ref="AV90:AW90"/>
    <mergeCell ref="AX90:BB90"/>
    <mergeCell ref="BC90:BJ90"/>
    <mergeCell ref="A89:B89"/>
    <mergeCell ref="C89:E89"/>
    <mergeCell ref="F89:K89"/>
    <mergeCell ref="L89:AU89"/>
    <mergeCell ref="AV89:AW89"/>
    <mergeCell ref="AX89:BB89"/>
    <mergeCell ref="BS87:BX87"/>
    <mergeCell ref="A88:B88"/>
    <mergeCell ref="C88:E88"/>
    <mergeCell ref="F88:K88"/>
    <mergeCell ref="L88:AU88"/>
    <mergeCell ref="AV88:AW88"/>
    <mergeCell ref="AX88:BB88"/>
    <mergeCell ref="BC88:BJ88"/>
    <mergeCell ref="BK88:BR88"/>
    <mergeCell ref="BS88:BX88"/>
    <mergeCell ref="BK86:BR86"/>
    <mergeCell ref="BS86:BX86"/>
    <mergeCell ref="A87:B87"/>
    <mergeCell ref="C87:E87"/>
    <mergeCell ref="F87:K87"/>
    <mergeCell ref="L87:AU87"/>
    <mergeCell ref="AV87:AW87"/>
    <mergeCell ref="AX87:BB87"/>
    <mergeCell ref="BC87:BJ87"/>
    <mergeCell ref="BK87:BR87"/>
    <mergeCell ref="BC85:BJ85"/>
    <mergeCell ref="BK85:BR85"/>
    <mergeCell ref="BS85:BX85"/>
    <mergeCell ref="A86:B86"/>
    <mergeCell ref="C86:E86"/>
    <mergeCell ref="F86:K86"/>
    <mergeCell ref="L86:AU86"/>
    <mergeCell ref="AV86:AW86"/>
    <mergeCell ref="AX86:BB86"/>
    <mergeCell ref="BC86:BJ86"/>
    <mergeCell ref="A85:B85"/>
    <mergeCell ref="C85:E85"/>
    <mergeCell ref="F85:K85"/>
    <mergeCell ref="L85:AU85"/>
    <mergeCell ref="AV85:AW85"/>
    <mergeCell ref="AX85:BB85"/>
    <mergeCell ref="BS83:BX83"/>
    <mergeCell ref="A84:B84"/>
    <mergeCell ref="C84:E84"/>
    <mergeCell ref="F84:K84"/>
    <mergeCell ref="L84:AU84"/>
    <mergeCell ref="AV84:AW84"/>
    <mergeCell ref="AX84:BB84"/>
    <mergeCell ref="BC84:BJ84"/>
    <mergeCell ref="BK84:BR84"/>
    <mergeCell ref="BS84:BX84"/>
    <mergeCell ref="BK82:BR82"/>
    <mergeCell ref="BS82:BX82"/>
    <mergeCell ref="A83:B83"/>
    <mergeCell ref="C83:E83"/>
    <mergeCell ref="F83:K83"/>
    <mergeCell ref="L83:AU83"/>
    <mergeCell ref="AV83:AW83"/>
    <mergeCell ref="AX83:BB83"/>
    <mergeCell ref="BC83:BJ83"/>
    <mergeCell ref="BK83:BR83"/>
    <mergeCell ref="BC81:BJ81"/>
    <mergeCell ref="BK81:BR81"/>
    <mergeCell ref="BS81:BX81"/>
    <mergeCell ref="A82:B82"/>
    <mergeCell ref="C82:E82"/>
    <mergeCell ref="F82:K82"/>
    <mergeCell ref="L82:AU82"/>
    <mergeCell ref="AV82:AW82"/>
    <mergeCell ref="AX82:BB82"/>
    <mergeCell ref="BC82:BJ82"/>
    <mergeCell ref="A81:B81"/>
    <mergeCell ref="C81:E81"/>
    <mergeCell ref="F81:K81"/>
    <mergeCell ref="L81:AU81"/>
    <mergeCell ref="AV81:AW81"/>
    <mergeCell ref="AX81:BB81"/>
    <mergeCell ref="BS79:BX79"/>
    <mergeCell ref="A80:B80"/>
    <mergeCell ref="C80:E80"/>
    <mergeCell ref="F80:K80"/>
    <mergeCell ref="L80:AU80"/>
    <mergeCell ref="AV80:AW80"/>
    <mergeCell ref="AX80:BB80"/>
    <mergeCell ref="BC80:BJ80"/>
    <mergeCell ref="BK80:BR80"/>
    <mergeCell ref="BS80:BX80"/>
    <mergeCell ref="BK78:BR78"/>
    <mergeCell ref="BS78:BX78"/>
    <mergeCell ref="A79:B79"/>
    <mergeCell ref="C79:E79"/>
    <mergeCell ref="F79:K79"/>
    <mergeCell ref="L79:AU79"/>
    <mergeCell ref="AV79:AW79"/>
    <mergeCell ref="AX79:BB79"/>
    <mergeCell ref="BC79:BJ79"/>
    <mergeCell ref="BK79:BR79"/>
    <mergeCell ref="BC77:BJ77"/>
    <mergeCell ref="BK77:BR77"/>
    <mergeCell ref="BS77:BX77"/>
    <mergeCell ref="A78:B78"/>
    <mergeCell ref="C78:E78"/>
    <mergeCell ref="F78:K78"/>
    <mergeCell ref="L78:AU78"/>
    <mergeCell ref="AV78:AW78"/>
    <mergeCell ref="AX78:BB78"/>
    <mergeCell ref="BC78:BJ78"/>
    <mergeCell ref="A77:B77"/>
    <mergeCell ref="C77:E77"/>
    <mergeCell ref="F77:K77"/>
    <mergeCell ref="L77:AU77"/>
    <mergeCell ref="AV77:AW77"/>
    <mergeCell ref="AX77:BB77"/>
    <mergeCell ref="BS75:BX75"/>
    <mergeCell ref="A76:B76"/>
    <mergeCell ref="C76:E76"/>
    <mergeCell ref="F76:K76"/>
    <mergeCell ref="L76:AU76"/>
    <mergeCell ref="AV76:AW76"/>
    <mergeCell ref="AX76:BB76"/>
    <mergeCell ref="BC76:BJ76"/>
    <mergeCell ref="BK76:BR76"/>
    <mergeCell ref="BS76:BX76"/>
    <mergeCell ref="BK74:BR74"/>
    <mergeCell ref="BS74:BX74"/>
    <mergeCell ref="A75:B75"/>
    <mergeCell ref="C75:E75"/>
    <mergeCell ref="F75:K75"/>
    <mergeCell ref="L75:AU75"/>
    <mergeCell ref="AV75:AW75"/>
    <mergeCell ref="AX75:BB75"/>
    <mergeCell ref="BC75:BJ75"/>
    <mergeCell ref="BK75:BR75"/>
    <mergeCell ref="BC73:BJ73"/>
    <mergeCell ref="BK73:BR73"/>
    <mergeCell ref="BS73:BX73"/>
    <mergeCell ref="A74:B74"/>
    <mergeCell ref="C74:E74"/>
    <mergeCell ref="F74:K74"/>
    <mergeCell ref="L74:AU74"/>
    <mergeCell ref="AV74:AW74"/>
    <mergeCell ref="AX74:BB74"/>
    <mergeCell ref="BC74:BJ74"/>
    <mergeCell ref="A73:B73"/>
    <mergeCell ref="C73:E73"/>
    <mergeCell ref="F73:K73"/>
    <mergeCell ref="L73:AU73"/>
    <mergeCell ref="AV73:AW73"/>
    <mergeCell ref="AX73:BB73"/>
    <mergeCell ref="AX71:BB71"/>
    <mergeCell ref="BC71:BJ71"/>
    <mergeCell ref="BK71:BR71"/>
    <mergeCell ref="BS71:BX71"/>
    <mergeCell ref="A72:K72"/>
    <mergeCell ref="L72:AU72"/>
    <mergeCell ref="AV72:BX72"/>
    <mergeCell ref="BK69:BR69"/>
    <mergeCell ref="BS69:BX69"/>
    <mergeCell ref="A70:K70"/>
    <mergeCell ref="L70:AU70"/>
    <mergeCell ref="AV70:BX70"/>
    <mergeCell ref="A71:B71"/>
    <mergeCell ref="C71:E71"/>
    <mergeCell ref="F71:K71"/>
    <mergeCell ref="L71:AU71"/>
    <mergeCell ref="AV71:AW71"/>
    <mergeCell ref="BC68:BJ68"/>
    <mergeCell ref="BK68:BR68"/>
    <mergeCell ref="BS68:BX68"/>
    <mergeCell ref="A69:B69"/>
    <mergeCell ref="C69:E69"/>
    <mergeCell ref="F69:K69"/>
    <mergeCell ref="L69:AU69"/>
    <mergeCell ref="AV69:AW69"/>
    <mergeCell ref="AX69:BB69"/>
    <mergeCell ref="BC69:BJ69"/>
    <mergeCell ref="A68:B68"/>
    <mergeCell ref="C68:E68"/>
    <mergeCell ref="F68:K68"/>
    <mergeCell ref="L68:AU68"/>
    <mergeCell ref="AV68:AW68"/>
    <mergeCell ref="AX68:BB68"/>
    <mergeCell ref="AX66:BB66"/>
    <mergeCell ref="BC66:BJ66"/>
    <mergeCell ref="BK66:BR66"/>
    <mergeCell ref="BS66:BX66"/>
    <mergeCell ref="A67:K67"/>
    <mergeCell ref="L67:AU67"/>
    <mergeCell ref="AV67:BX67"/>
    <mergeCell ref="BK64:BR64"/>
    <mergeCell ref="BS64:BX64"/>
    <mergeCell ref="A65:K65"/>
    <mergeCell ref="L65:AU65"/>
    <mergeCell ref="AV65:BX65"/>
    <mergeCell ref="A66:B66"/>
    <mergeCell ref="C66:E66"/>
    <mergeCell ref="F66:K66"/>
    <mergeCell ref="L66:AU66"/>
    <mergeCell ref="AV66:AW66"/>
    <mergeCell ref="BC63:BJ63"/>
    <mergeCell ref="BK63:BR63"/>
    <mergeCell ref="BS63:BX63"/>
    <mergeCell ref="A64:B64"/>
    <mergeCell ref="C64:E64"/>
    <mergeCell ref="F64:K64"/>
    <mergeCell ref="L64:AU64"/>
    <mergeCell ref="AV64:AW64"/>
    <mergeCell ref="AX64:BB64"/>
    <mergeCell ref="BC64:BJ64"/>
    <mergeCell ref="A63:B63"/>
    <mergeCell ref="C63:E63"/>
    <mergeCell ref="F63:K63"/>
    <mergeCell ref="L63:AU63"/>
    <mergeCell ref="AV63:AW63"/>
    <mergeCell ref="AX63:BB63"/>
    <mergeCell ref="BS61:BX61"/>
    <mergeCell ref="A62:B62"/>
    <mergeCell ref="C62:E62"/>
    <mergeCell ref="F62:K62"/>
    <mergeCell ref="L62:AU62"/>
    <mergeCell ref="AV62:AW62"/>
    <mergeCell ref="AX62:BB62"/>
    <mergeCell ref="BC62:BJ62"/>
    <mergeCell ref="BK62:BR62"/>
    <mergeCell ref="BS62:BX62"/>
    <mergeCell ref="BK60:BR60"/>
    <mergeCell ref="BS60:BX60"/>
    <mergeCell ref="A61:B61"/>
    <mergeCell ref="C61:E61"/>
    <mergeCell ref="F61:K61"/>
    <mergeCell ref="L61:AU61"/>
    <mergeCell ref="AV61:AW61"/>
    <mergeCell ref="AX61:BB61"/>
    <mergeCell ref="BC61:BJ61"/>
    <mergeCell ref="BK61:BR61"/>
    <mergeCell ref="BC59:BJ59"/>
    <mergeCell ref="BK59:BR59"/>
    <mergeCell ref="BS59:BX59"/>
    <mergeCell ref="A60:B60"/>
    <mergeCell ref="C60:E60"/>
    <mergeCell ref="F60:K60"/>
    <mergeCell ref="L60:AU60"/>
    <mergeCell ref="AV60:AW60"/>
    <mergeCell ref="AX60:BB60"/>
    <mergeCell ref="BC60:BJ60"/>
    <mergeCell ref="A59:B59"/>
    <mergeCell ref="C59:E59"/>
    <mergeCell ref="F59:K59"/>
    <mergeCell ref="L59:AU59"/>
    <mergeCell ref="AV59:AW59"/>
    <mergeCell ref="AX59:BB59"/>
    <mergeCell ref="BC57:BJ57"/>
    <mergeCell ref="BK57:BR57"/>
    <mergeCell ref="BS57:BX57"/>
    <mergeCell ref="A58:K58"/>
    <mergeCell ref="L58:AU58"/>
    <mergeCell ref="AV58:BX58"/>
    <mergeCell ref="A57:B57"/>
    <mergeCell ref="C57:E57"/>
    <mergeCell ref="F57:K57"/>
    <mergeCell ref="L57:AU57"/>
    <mergeCell ref="AV57:AW57"/>
    <mergeCell ref="AX57:BB57"/>
    <mergeCell ref="BS55:BX55"/>
    <mergeCell ref="A56:B56"/>
    <mergeCell ref="C56:E56"/>
    <mergeCell ref="F56:K56"/>
    <mergeCell ref="L56:AU56"/>
    <mergeCell ref="AV56:AW56"/>
    <mergeCell ref="AX56:BB56"/>
    <mergeCell ref="BC56:BJ56"/>
    <mergeCell ref="BK56:BR56"/>
    <mergeCell ref="BS56:BX56"/>
    <mergeCell ref="BK54:BR54"/>
    <mergeCell ref="BS54:BX54"/>
    <mergeCell ref="A55:B55"/>
    <mergeCell ref="C55:E55"/>
    <mergeCell ref="F55:K55"/>
    <mergeCell ref="L55:AU55"/>
    <mergeCell ref="AV55:AW55"/>
    <mergeCell ref="AX55:BB55"/>
    <mergeCell ref="BC55:BJ55"/>
    <mergeCell ref="BK55:BR55"/>
    <mergeCell ref="BC53:BJ53"/>
    <mergeCell ref="BK53:BR53"/>
    <mergeCell ref="BS53:BX53"/>
    <mergeCell ref="A54:B54"/>
    <mergeCell ref="C54:E54"/>
    <mergeCell ref="F54:K54"/>
    <mergeCell ref="L54:AU54"/>
    <mergeCell ref="AV54:AW54"/>
    <mergeCell ref="AX54:BB54"/>
    <mergeCell ref="BC54:BJ54"/>
    <mergeCell ref="A53:B53"/>
    <mergeCell ref="C53:E53"/>
    <mergeCell ref="F53:K53"/>
    <mergeCell ref="L53:AU53"/>
    <mergeCell ref="AV53:AW53"/>
    <mergeCell ref="AX53:BB53"/>
    <mergeCell ref="BC51:BJ51"/>
    <mergeCell ref="BK51:BR51"/>
    <mergeCell ref="BS51:BX51"/>
    <mergeCell ref="A52:K52"/>
    <mergeCell ref="L52:AU52"/>
    <mergeCell ref="AV52:BX52"/>
    <mergeCell ref="A51:B51"/>
    <mergeCell ref="C51:E51"/>
    <mergeCell ref="F51:K51"/>
    <mergeCell ref="L51:AU51"/>
    <mergeCell ref="AV51:AW51"/>
    <mergeCell ref="AX51:BB51"/>
    <mergeCell ref="BS49:BX49"/>
    <mergeCell ref="A50:B50"/>
    <mergeCell ref="C50:E50"/>
    <mergeCell ref="F50:K50"/>
    <mergeCell ref="L50:AU50"/>
    <mergeCell ref="AV50:AW50"/>
    <mergeCell ref="AX50:BB50"/>
    <mergeCell ref="BC50:BJ50"/>
    <mergeCell ref="BK50:BR50"/>
    <mergeCell ref="BS50:BX50"/>
    <mergeCell ref="BK48:BR48"/>
    <mergeCell ref="BS48:BX48"/>
    <mergeCell ref="A49:B49"/>
    <mergeCell ref="C49:E49"/>
    <mergeCell ref="F49:K49"/>
    <mergeCell ref="L49:AU49"/>
    <mergeCell ref="AV49:AW49"/>
    <mergeCell ref="AX49:BB49"/>
    <mergeCell ref="BC49:BJ49"/>
    <mergeCell ref="BK49:BR49"/>
    <mergeCell ref="BC47:BJ47"/>
    <mergeCell ref="BK47:BR47"/>
    <mergeCell ref="BS47:BX47"/>
    <mergeCell ref="A48:B48"/>
    <mergeCell ref="C48:E48"/>
    <mergeCell ref="F48:K48"/>
    <mergeCell ref="L48:AU48"/>
    <mergeCell ref="AV48:AW48"/>
    <mergeCell ref="AX48:BB48"/>
    <mergeCell ref="BC48:BJ48"/>
    <mergeCell ref="AX46:BB46"/>
    <mergeCell ref="BC46:BJ46"/>
    <mergeCell ref="BK46:BR46"/>
    <mergeCell ref="BS46:BX46"/>
    <mergeCell ref="A47:B47"/>
    <mergeCell ref="C47:E47"/>
    <mergeCell ref="F47:K47"/>
    <mergeCell ref="L47:AU47"/>
    <mergeCell ref="AV47:AW47"/>
    <mergeCell ref="AX47:BB47"/>
    <mergeCell ref="BK44:BR44"/>
    <mergeCell ref="BS44:BX44"/>
    <mergeCell ref="A45:K45"/>
    <mergeCell ref="L45:AU45"/>
    <mergeCell ref="AV45:BX45"/>
    <mergeCell ref="A46:B46"/>
    <mergeCell ref="C46:E46"/>
    <mergeCell ref="F46:K46"/>
    <mergeCell ref="L46:AU46"/>
    <mergeCell ref="AV46:AW46"/>
    <mergeCell ref="BC43:BJ43"/>
    <mergeCell ref="BK43:BR43"/>
    <mergeCell ref="BS43:BX43"/>
    <mergeCell ref="A44:B44"/>
    <mergeCell ref="C44:E44"/>
    <mergeCell ref="F44:K44"/>
    <mergeCell ref="L44:AU44"/>
    <mergeCell ref="AV44:AW44"/>
    <mergeCell ref="AX44:BB44"/>
    <mergeCell ref="BC44:BJ44"/>
    <mergeCell ref="A43:B43"/>
    <mergeCell ref="C43:E43"/>
    <mergeCell ref="F43:K43"/>
    <mergeCell ref="L43:AU43"/>
    <mergeCell ref="AV43:AW43"/>
    <mergeCell ref="AX43:BB43"/>
    <mergeCell ref="BS41:BX41"/>
    <mergeCell ref="A42:B42"/>
    <mergeCell ref="C42:E42"/>
    <mergeCell ref="F42:K42"/>
    <mergeCell ref="L42:AU42"/>
    <mergeCell ref="AV42:AW42"/>
    <mergeCell ref="AX42:BB42"/>
    <mergeCell ref="BC42:BJ42"/>
    <mergeCell ref="BK42:BR42"/>
    <mergeCell ref="BS42:BX42"/>
    <mergeCell ref="BK40:BR40"/>
    <mergeCell ref="BS40:BX40"/>
    <mergeCell ref="A41:B41"/>
    <mergeCell ref="C41:E41"/>
    <mergeCell ref="F41:K41"/>
    <mergeCell ref="L41:AU41"/>
    <mergeCell ref="AV41:AW41"/>
    <mergeCell ref="AX41:BB41"/>
    <mergeCell ref="BC41:BJ41"/>
    <mergeCell ref="BK41:BR41"/>
    <mergeCell ref="BC39:BJ39"/>
    <mergeCell ref="BK39:BR39"/>
    <mergeCell ref="BS39:BX39"/>
    <mergeCell ref="A40:B40"/>
    <mergeCell ref="C40:E40"/>
    <mergeCell ref="F40:K40"/>
    <mergeCell ref="L40:AU40"/>
    <mergeCell ref="AV40:AW40"/>
    <mergeCell ref="AX40:BB40"/>
    <mergeCell ref="BC40:BJ40"/>
    <mergeCell ref="A39:B39"/>
    <mergeCell ref="C39:E39"/>
    <mergeCell ref="F39:K39"/>
    <mergeCell ref="L39:AU39"/>
    <mergeCell ref="AV39:AW39"/>
    <mergeCell ref="AX39:BB39"/>
    <mergeCell ref="BC37:BJ37"/>
    <mergeCell ref="BK37:BR37"/>
    <mergeCell ref="BS37:BX37"/>
    <mergeCell ref="A38:K38"/>
    <mergeCell ref="L38:AU38"/>
    <mergeCell ref="AV38:BX38"/>
    <mergeCell ref="A37:B37"/>
    <mergeCell ref="C37:E37"/>
    <mergeCell ref="F37:K37"/>
    <mergeCell ref="L37:AU37"/>
    <mergeCell ref="AV37:AW37"/>
    <mergeCell ref="AX37:BB37"/>
    <mergeCell ref="BC35:BJ35"/>
    <mergeCell ref="BK35:BR35"/>
    <mergeCell ref="BS35:BX35"/>
    <mergeCell ref="A36:K36"/>
    <mergeCell ref="L36:AU36"/>
    <mergeCell ref="AV36:BX36"/>
    <mergeCell ref="A35:B35"/>
    <mergeCell ref="C35:E35"/>
    <mergeCell ref="F35:K35"/>
    <mergeCell ref="L35:AU35"/>
    <mergeCell ref="AV35:AW35"/>
    <mergeCell ref="AX35:BB35"/>
    <mergeCell ref="BC33:BJ33"/>
    <mergeCell ref="BK33:BR33"/>
    <mergeCell ref="BS33:BX33"/>
    <mergeCell ref="A34:K34"/>
    <mergeCell ref="L34:AU34"/>
    <mergeCell ref="AV34:BX34"/>
    <mergeCell ref="A33:B33"/>
    <mergeCell ref="C33:E33"/>
    <mergeCell ref="F33:K33"/>
    <mergeCell ref="L33:AU33"/>
    <mergeCell ref="AV33:AW33"/>
    <mergeCell ref="AX33:BB33"/>
    <mergeCell ref="BC31:BJ31"/>
    <mergeCell ref="BK31:BR31"/>
    <mergeCell ref="BS31:BX31"/>
    <mergeCell ref="A32:K32"/>
    <mergeCell ref="L32:AU32"/>
    <mergeCell ref="AV32:BX32"/>
    <mergeCell ref="A31:B31"/>
    <mergeCell ref="C31:E31"/>
    <mergeCell ref="F31:K31"/>
    <mergeCell ref="L31:AU31"/>
    <mergeCell ref="AV31:AW31"/>
    <mergeCell ref="AX31:BB31"/>
    <mergeCell ref="BS29:BX29"/>
    <mergeCell ref="A30:B30"/>
    <mergeCell ref="C30:E30"/>
    <mergeCell ref="F30:K30"/>
    <mergeCell ref="L30:AU30"/>
    <mergeCell ref="AV30:AW30"/>
    <mergeCell ref="AX30:BB30"/>
    <mergeCell ref="BC30:BJ30"/>
    <mergeCell ref="BK30:BR30"/>
    <mergeCell ref="BS30:BX30"/>
    <mergeCell ref="BK28:BR28"/>
    <mergeCell ref="BS28:BX28"/>
    <mergeCell ref="A29:B29"/>
    <mergeCell ref="C29:E29"/>
    <mergeCell ref="F29:K29"/>
    <mergeCell ref="L29:AU29"/>
    <mergeCell ref="AV29:AW29"/>
    <mergeCell ref="AX29:BB29"/>
    <mergeCell ref="BC29:BJ29"/>
    <mergeCell ref="BK29:BR29"/>
    <mergeCell ref="BC27:BJ27"/>
    <mergeCell ref="BK27:BR27"/>
    <mergeCell ref="BS27:BX27"/>
    <mergeCell ref="A28:B28"/>
    <mergeCell ref="C28:E28"/>
    <mergeCell ref="F28:K28"/>
    <mergeCell ref="L28:AU28"/>
    <mergeCell ref="AV28:AW28"/>
    <mergeCell ref="AX28:BB28"/>
    <mergeCell ref="BC28:BJ28"/>
    <mergeCell ref="A27:B27"/>
    <mergeCell ref="C27:E27"/>
    <mergeCell ref="F27:K27"/>
    <mergeCell ref="L27:AU27"/>
    <mergeCell ref="AV27:AW27"/>
    <mergeCell ref="AX27:BB27"/>
    <mergeCell ref="AX25:BB25"/>
    <mergeCell ref="BC25:BJ25"/>
    <mergeCell ref="BK25:BR25"/>
    <mergeCell ref="BS25:BX25"/>
    <mergeCell ref="A26:K26"/>
    <mergeCell ref="L26:AU26"/>
    <mergeCell ref="AV26:BX26"/>
    <mergeCell ref="BK23:BR23"/>
    <mergeCell ref="BS23:BX23"/>
    <mergeCell ref="A24:K24"/>
    <mergeCell ref="L24:AU24"/>
    <mergeCell ref="AV24:BX24"/>
    <mergeCell ref="A25:B25"/>
    <mergeCell ref="C25:E25"/>
    <mergeCell ref="F25:K25"/>
    <mergeCell ref="L25:AU25"/>
    <mergeCell ref="AV25:AW25"/>
    <mergeCell ref="BC22:BJ22"/>
    <mergeCell ref="BK22:BR22"/>
    <mergeCell ref="BS22:BX22"/>
    <mergeCell ref="A23:B23"/>
    <mergeCell ref="C23:E23"/>
    <mergeCell ref="F23:K23"/>
    <mergeCell ref="L23:AU23"/>
    <mergeCell ref="AV23:AW23"/>
    <mergeCell ref="AX23:BB23"/>
    <mergeCell ref="BC23:BJ23"/>
    <mergeCell ref="A22:B22"/>
    <mergeCell ref="C22:E22"/>
    <mergeCell ref="F22:K22"/>
    <mergeCell ref="L22:AU22"/>
    <mergeCell ref="AV22:AW22"/>
    <mergeCell ref="AX22:BB22"/>
    <mergeCell ref="BS20:BX20"/>
    <mergeCell ref="A21:B21"/>
    <mergeCell ref="C21:E21"/>
    <mergeCell ref="F21:K21"/>
    <mergeCell ref="L21:AU21"/>
    <mergeCell ref="AV21:AW21"/>
    <mergeCell ref="AX21:BB21"/>
    <mergeCell ref="BC21:BJ21"/>
    <mergeCell ref="BK21:BR21"/>
    <mergeCell ref="BS21:BX21"/>
    <mergeCell ref="BK19:BR19"/>
    <mergeCell ref="BS19:BX19"/>
    <mergeCell ref="A20:B20"/>
    <mergeCell ref="C20:E20"/>
    <mergeCell ref="F20:K20"/>
    <mergeCell ref="L20:AU20"/>
    <mergeCell ref="AV20:AW20"/>
    <mergeCell ref="AX20:BB20"/>
    <mergeCell ref="BC20:BJ20"/>
    <mergeCell ref="BK20:BR20"/>
    <mergeCell ref="BC18:BJ18"/>
    <mergeCell ref="BK18:BR18"/>
    <mergeCell ref="BS18:BX18"/>
    <mergeCell ref="A19:B19"/>
    <mergeCell ref="C19:E19"/>
    <mergeCell ref="F19:K19"/>
    <mergeCell ref="L19:AU19"/>
    <mergeCell ref="AV19:AW19"/>
    <mergeCell ref="AX19:BB19"/>
    <mergeCell ref="BC19:BJ19"/>
    <mergeCell ref="A18:B18"/>
    <mergeCell ref="C18:E18"/>
    <mergeCell ref="F18:K18"/>
    <mergeCell ref="L18:AU18"/>
    <mergeCell ref="AV18:AW18"/>
    <mergeCell ref="AX18:BB18"/>
    <mergeCell ref="BS16:BX16"/>
    <mergeCell ref="A17:B17"/>
    <mergeCell ref="C17:E17"/>
    <mergeCell ref="F17:K17"/>
    <mergeCell ref="L17:AU17"/>
    <mergeCell ref="AV17:AW17"/>
    <mergeCell ref="AX17:BB17"/>
    <mergeCell ref="BC17:BJ17"/>
    <mergeCell ref="BK17:BR17"/>
    <mergeCell ref="BS17:BX17"/>
    <mergeCell ref="BK15:BR15"/>
    <mergeCell ref="BS15:BX15"/>
    <mergeCell ref="A16:B16"/>
    <mergeCell ref="C16:E16"/>
    <mergeCell ref="F16:K16"/>
    <mergeCell ref="L16:AU16"/>
    <mergeCell ref="AV16:AW16"/>
    <mergeCell ref="AX16:BB16"/>
    <mergeCell ref="BC16:BJ16"/>
    <mergeCell ref="BK16:BR16"/>
    <mergeCell ref="BC14:BJ14"/>
    <mergeCell ref="BK14:BR14"/>
    <mergeCell ref="BS14:BX14"/>
    <mergeCell ref="A15:B15"/>
    <mergeCell ref="C15:E15"/>
    <mergeCell ref="F15:K15"/>
    <mergeCell ref="L15:AU15"/>
    <mergeCell ref="AV15:AW15"/>
    <mergeCell ref="AX15:BB15"/>
    <mergeCell ref="BC15:BJ15"/>
    <mergeCell ref="A14:B14"/>
    <mergeCell ref="C14:E14"/>
    <mergeCell ref="F14:K14"/>
    <mergeCell ref="L14:AU14"/>
    <mergeCell ref="AV14:AW14"/>
    <mergeCell ref="AX14:BB14"/>
    <mergeCell ref="BS12:BX12"/>
    <mergeCell ref="A13:B13"/>
    <mergeCell ref="C13:E13"/>
    <mergeCell ref="F13:K13"/>
    <mergeCell ref="L13:AU13"/>
    <mergeCell ref="AV13:AW13"/>
    <mergeCell ref="AX13:BB13"/>
    <mergeCell ref="BC13:BJ13"/>
    <mergeCell ref="BK13:BR13"/>
    <mergeCell ref="BS13:BX13"/>
    <mergeCell ref="BK11:BR11"/>
    <mergeCell ref="BS11:BX11"/>
    <mergeCell ref="A12:B12"/>
    <mergeCell ref="C12:E12"/>
    <mergeCell ref="F12:K12"/>
    <mergeCell ref="L12:AU12"/>
    <mergeCell ref="AV12:AW12"/>
    <mergeCell ref="AX12:BB12"/>
    <mergeCell ref="BC12:BJ12"/>
    <mergeCell ref="BK12:BR12"/>
    <mergeCell ref="BC10:BJ10"/>
    <mergeCell ref="BK10:BR10"/>
    <mergeCell ref="BS10:BX10"/>
    <mergeCell ref="A11:B11"/>
    <mergeCell ref="C11:E11"/>
    <mergeCell ref="F11:K11"/>
    <mergeCell ref="L11:AU11"/>
    <mergeCell ref="AV11:AW11"/>
    <mergeCell ref="AX11:BB11"/>
    <mergeCell ref="BC11:BJ11"/>
    <mergeCell ref="A10:B10"/>
    <mergeCell ref="C10:E10"/>
    <mergeCell ref="F10:K10"/>
    <mergeCell ref="L10:AU10"/>
    <mergeCell ref="AV10:AW10"/>
    <mergeCell ref="AX10:BB10"/>
    <mergeCell ref="A8:E9"/>
    <mergeCell ref="F8:AI9"/>
    <mergeCell ref="AJ8:AP9"/>
    <mergeCell ref="AQ8:AV9"/>
    <mergeCell ref="AW8:BC9"/>
    <mergeCell ref="BD8:BX9"/>
    <mergeCell ref="A6:E7"/>
    <mergeCell ref="F6:AI7"/>
    <mergeCell ref="AJ6:AP7"/>
    <mergeCell ref="AQ6:AV7"/>
    <mergeCell ref="AW6:BC7"/>
    <mergeCell ref="BD6:BX7"/>
    <mergeCell ref="A4:E5"/>
    <mergeCell ref="F4:AI5"/>
    <mergeCell ref="AJ4:AP5"/>
    <mergeCell ref="AQ4:AV5"/>
    <mergeCell ref="AW4:BC5"/>
    <mergeCell ref="BD4:BX5"/>
    <mergeCell ref="A1:BX1"/>
    <mergeCell ref="A2:E3"/>
    <mergeCell ref="F2:AI3"/>
    <mergeCell ref="AJ2:AP3"/>
    <mergeCell ref="AQ2:AV3"/>
    <mergeCell ref="AW2:BC3"/>
    <mergeCell ref="BD2:BX3"/>
  </mergeCells>
  <printOptions/>
  <pageMargins left="0.394" right="0.394" top="0.591" bottom="0.591" header="0.5" footer="0.5"/>
  <pageSetup fitToHeight="0" fitToWidth="1"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8"/>
  <sheetViews>
    <sheetView tabSelected="1" zoomScalePageLayoutView="0" workbookViewId="0" topLeftCell="A1">
      <pane ySplit="10" topLeftCell="A476" activePane="bottomLeft" state="frozen"/>
      <selection pane="topLeft" activeCell="A1" sqref="A1"/>
      <selection pane="bottomLeft" activeCell="F8" sqref="F8:H9"/>
    </sheetView>
  </sheetViews>
  <sheetFormatPr defaultColWidth="11.57421875" defaultRowHeight="12.75"/>
  <cols>
    <col min="1" max="2" width="9.140625" style="0" customWidth="1"/>
    <col min="3" max="3" width="13.28125" style="0" customWidth="1"/>
    <col min="4" max="4" width="102.57421875" style="0" customWidth="1"/>
    <col min="5" max="5" width="14.57421875" style="0" customWidth="1"/>
    <col min="6" max="6" width="24.140625" style="0" customWidth="1"/>
    <col min="7" max="7" width="20.421875" style="0" customWidth="1"/>
    <col min="8" max="8" width="16.421875" style="0" customWidth="1"/>
  </cols>
  <sheetData>
    <row r="1" spans="1:8" ht="72.75" customHeight="1">
      <c r="A1" s="112" t="s">
        <v>1245</v>
      </c>
      <c r="B1" s="113"/>
      <c r="C1" s="113"/>
      <c r="D1" s="113"/>
      <c r="E1" s="113"/>
      <c r="F1" s="113"/>
      <c r="G1" s="113"/>
      <c r="H1" s="113"/>
    </row>
    <row r="2" spans="1:9" ht="12.75">
      <c r="A2" s="75" t="s">
        <v>1</v>
      </c>
      <c r="B2" s="76"/>
      <c r="C2" s="79" t="str">
        <f>'Stavební rozpočet'!D2</f>
        <v>Obslužný objekt koupaliště, novostavba Zákupy</v>
      </c>
      <c r="D2" s="80"/>
      <c r="E2" s="82" t="s">
        <v>1168</v>
      </c>
      <c r="F2" s="82" t="str">
        <f>'Stavební rozpočet'!J2</f>
        <v> </v>
      </c>
      <c r="G2" s="76"/>
      <c r="H2" s="114"/>
      <c r="I2" s="1"/>
    </row>
    <row r="3" spans="1:9" ht="12.75">
      <c r="A3" s="77"/>
      <c r="B3" s="78"/>
      <c r="C3" s="81"/>
      <c r="D3" s="81"/>
      <c r="E3" s="78"/>
      <c r="F3" s="78"/>
      <c r="G3" s="78"/>
      <c r="H3" s="84"/>
      <c r="I3" s="1"/>
    </row>
    <row r="4" spans="1:9" ht="12.75">
      <c r="A4" s="85" t="s">
        <v>2</v>
      </c>
      <c r="B4" s="78"/>
      <c r="C4" s="86" t="str">
        <f>'Stavební rozpočet'!D4</f>
        <v> </v>
      </c>
      <c r="D4" s="78"/>
      <c r="E4" s="86" t="s">
        <v>1169</v>
      </c>
      <c r="F4" s="86" t="str">
        <f>'Stavební rozpočet'!J4</f>
        <v> </v>
      </c>
      <c r="G4" s="78"/>
      <c r="H4" s="84"/>
      <c r="I4" s="1"/>
    </row>
    <row r="5" spans="1:9" ht="12.75">
      <c r="A5" s="77"/>
      <c r="B5" s="78"/>
      <c r="C5" s="78"/>
      <c r="D5" s="78"/>
      <c r="E5" s="78"/>
      <c r="F5" s="78"/>
      <c r="G5" s="78"/>
      <c r="H5" s="84"/>
      <c r="I5" s="1"/>
    </row>
    <row r="6" spans="1:9" ht="12.75">
      <c r="A6" s="85" t="s">
        <v>3</v>
      </c>
      <c r="B6" s="78"/>
      <c r="C6" s="86" t="str">
        <f>'Stavební rozpočet'!D6</f>
        <v> </v>
      </c>
      <c r="D6" s="78"/>
      <c r="E6" s="86" t="s">
        <v>1170</v>
      </c>
      <c r="F6" s="86" t="str">
        <f>'Stavební rozpočet'!J6</f>
        <v> </v>
      </c>
      <c r="G6" s="78"/>
      <c r="H6" s="84"/>
      <c r="I6" s="1"/>
    </row>
    <row r="7" spans="1:9" ht="12.75">
      <c r="A7" s="77"/>
      <c r="B7" s="78"/>
      <c r="C7" s="78"/>
      <c r="D7" s="78"/>
      <c r="E7" s="78"/>
      <c r="F7" s="78"/>
      <c r="G7" s="78"/>
      <c r="H7" s="84"/>
      <c r="I7" s="1"/>
    </row>
    <row r="8" spans="1:9" ht="12.75">
      <c r="A8" s="85" t="s">
        <v>1171</v>
      </c>
      <c r="B8" s="78"/>
      <c r="C8" s="86" t="str">
        <f>'Stavební rozpočet'!J8</f>
        <v> </v>
      </c>
      <c r="D8" s="78"/>
      <c r="E8" s="86" t="s">
        <v>1148</v>
      </c>
      <c r="F8" s="86"/>
      <c r="G8" s="78"/>
      <c r="H8" s="84"/>
      <c r="I8" s="1"/>
    </row>
    <row r="9" spans="1:9" ht="12.75">
      <c r="A9" s="115"/>
      <c r="B9" s="116"/>
      <c r="C9" s="116"/>
      <c r="D9" s="116"/>
      <c r="E9" s="116"/>
      <c r="F9" s="116"/>
      <c r="G9" s="116"/>
      <c r="H9" s="117"/>
      <c r="I9" s="1"/>
    </row>
    <row r="10" spans="1:9" ht="12.75">
      <c r="A10" s="50" t="s">
        <v>5</v>
      </c>
      <c r="B10" s="51" t="s">
        <v>378</v>
      </c>
      <c r="C10" s="51" t="s">
        <v>379</v>
      </c>
      <c r="D10" s="51" t="s">
        <v>739</v>
      </c>
      <c r="E10" s="51" t="s">
        <v>1149</v>
      </c>
      <c r="F10" s="51" t="s">
        <v>740</v>
      </c>
      <c r="G10" s="56" t="s">
        <v>1162</v>
      </c>
      <c r="H10" s="48" t="s">
        <v>1237</v>
      </c>
      <c r="I10" s="36"/>
    </row>
    <row r="11" spans="1:8" ht="12.75">
      <c r="A11" s="55" t="s">
        <v>7</v>
      </c>
      <c r="B11" s="55"/>
      <c r="C11" s="55" t="s">
        <v>380</v>
      </c>
      <c r="D11" s="55" t="s">
        <v>742</v>
      </c>
      <c r="E11" s="55" t="s">
        <v>1150</v>
      </c>
      <c r="F11" s="55" t="s">
        <v>1246</v>
      </c>
      <c r="G11" s="57">
        <v>9.114</v>
      </c>
      <c r="H11" s="58" t="s">
        <v>1177</v>
      </c>
    </row>
    <row r="12" spans="1:8" ht="12.75">
      <c r="A12" s="5" t="s">
        <v>8</v>
      </c>
      <c r="B12" s="5"/>
      <c r="C12" s="5" t="s">
        <v>381</v>
      </c>
      <c r="D12" s="5" t="s">
        <v>743</v>
      </c>
      <c r="E12" s="5" t="s">
        <v>1150</v>
      </c>
      <c r="G12" s="19">
        <v>9.114</v>
      </c>
      <c r="H12" s="33" t="s">
        <v>1177</v>
      </c>
    </row>
    <row r="13" spans="1:8" ht="12.75">
      <c r="A13" s="5" t="s">
        <v>9</v>
      </c>
      <c r="B13" s="5"/>
      <c r="C13" s="5" t="s">
        <v>382</v>
      </c>
      <c r="D13" s="5" t="s">
        <v>744</v>
      </c>
      <c r="E13" s="5" t="s">
        <v>1150</v>
      </c>
      <c r="F13" s="5" t="s">
        <v>1247</v>
      </c>
      <c r="G13" s="19">
        <v>0.53</v>
      </c>
      <c r="H13" s="33" t="s">
        <v>1177</v>
      </c>
    </row>
    <row r="14" spans="1:8" ht="12.75">
      <c r="A14" s="5" t="s">
        <v>10</v>
      </c>
      <c r="B14" s="5"/>
      <c r="C14" s="5" t="s">
        <v>383</v>
      </c>
      <c r="D14" s="5" t="s">
        <v>745</v>
      </c>
      <c r="E14" s="5" t="s">
        <v>1150</v>
      </c>
      <c r="G14" s="19">
        <v>0.53</v>
      </c>
      <c r="H14" s="33" t="s">
        <v>1177</v>
      </c>
    </row>
    <row r="15" spans="1:8" ht="12.75">
      <c r="A15" s="5" t="s">
        <v>11</v>
      </c>
      <c r="B15" s="5"/>
      <c r="C15" s="5" t="s">
        <v>384</v>
      </c>
      <c r="D15" s="5" t="s">
        <v>747</v>
      </c>
      <c r="E15" s="5" t="s">
        <v>1150</v>
      </c>
      <c r="F15" s="5" t="s">
        <v>1248</v>
      </c>
      <c r="G15" s="19">
        <v>9.644</v>
      </c>
      <c r="H15" s="33" t="s">
        <v>1177</v>
      </c>
    </row>
    <row r="16" spans="1:8" ht="12.75">
      <c r="A16" s="5" t="s">
        <v>12</v>
      </c>
      <c r="B16" s="5"/>
      <c r="C16" s="5" t="s">
        <v>385</v>
      </c>
      <c r="D16" s="5" t="s">
        <v>749</v>
      </c>
      <c r="E16" s="5" t="s">
        <v>1151</v>
      </c>
      <c r="G16" s="19">
        <v>16</v>
      </c>
      <c r="H16" s="33" t="s">
        <v>1177</v>
      </c>
    </row>
    <row r="17" spans="1:8" ht="12.75">
      <c r="A17" s="5" t="s">
        <v>13</v>
      </c>
      <c r="B17" s="5"/>
      <c r="C17" s="5" t="s">
        <v>386</v>
      </c>
      <c r="D17" s="5" t="s">
        <v>750</v>
      </c>
      <c r="E17" s="5" t="s">
        <v>1151</v>
      </c>
      <c r="G17" s="19">
        <v>16</v>
      </c>
      <c r="H17" s="33" t="s">
        <v>1177</v>
      </c>
    </row>
    <row r="18" spans="1:8" ht="12.75">
      <c r="A18" s="5" t="s">
        <v>14</v>
      </c>
      <c r="B18" s="5"/>
      <c r="C18" s="5" t="s">
        <v>387</v>
      </c>
      <c r="D18" s="5" t="s">
        <v>752</v>
      </c>
      <c r="E18" s="5" t="s">
        <v>1150</v>
      </c>
      <c r="G18" s="19">
        <v>1.2832</v>
      </c>
      <c r="H18" s="33" t="s">
        <v>1177</v>
      </c>
    </row>
    <row r="19" spans="6:7" ht="12.75">
      <c r="F19" s="5" t="s">
        <v>1249</v>
      </c>
      <c r="G19" s="19">
        <v>1.2152</v>
      </c>
    </row>
    <row r="20" spans="1:7" ht="12.75">
      <c r="A20" s="5"/>
      <c r="B20" s="5"/>
      <c r="C20" s="5"/>
      <c r="D20" s="5"/>
      <c r="E20" s="5"/>
      <c r="F20" s="5" t="s">
        <v>1250</v>
      </c>
      <c r="G20" s="19">
        <v>0.068</v>
      </c>
    </row>
    <row r="21" spans="1:8" ht="12.75">
      <c r="A21" s="5" t="s">
        <v>15</v>
      </c>
      <c r="B21" s="5"/>
      <c r="C21" s="5" t="s">
        <v>388</v>
      </c>
      <c r="D21" s="5" t="s">
        <v>753</v>
      </c>
      <c r="E21" s="5" t="s">
        <v>1150</v>
      </c>
      <c r="G21" s="19">
        <v>17.905</v>
      </c>
      <c r="H21" s="33" t="s">
        <v>1177</v>
      </c>
    </row>
    <row r="22" spans="4:7" ht="12.75">
      <c r="D22" s="16" t="s">
        <v>754</v>
      </c>
      <c r="F22" s="5" t="s">
        <v>1251</v>
      </c>
      <c r="G22" s="19">
        <v>17.905</v>
      </c>
    </row>
    <row r="23" spans="1:8" ht="12.75">
      <c r="A23" s="5" t="s">
        <v>16</v>
      </c>
      <c r="B23" s="5"/>
      <c r="C23" s="5" t="s">
        <v>389</v>
      </c>
      <c r="D23" s="5" t="s">
        <v>755</v>
      </c>
      <c r="E23" s="5" t="s">
        <v>1152</v>
      </c>
      <c r="G23" s="19">
        <v>1.37869</v>
      </c>
      <c r="H23" s="33" t="s">
        <v>1177</v>
      </c>
    </row>
    <row r="24" spans="4:7" ht="12.75">
      <c r="D24" s="16" t="s">
        <v>756</v>
      </c>
      <c r="F24" s="5" t="s">
        <v>1252</v>
      </c>
      <c r="G24" s="19">
        <v>1.37869</v>
      </c>
    </row>
    <row r="25" spans="1:8" ht="12.75">
      <c r="A25" s="5" t="s">
        <v>17</v>
      </c>
      <c r="B25" s="5"/>
      <c r="C25" s="5" t="s">
        <v>390</v>
      </c>
      <c r="D25" s="5" t="s">
        <v>757</v>
      </c>
      <c r="E25" s="5" t="s">
        <v>1150</v>
      </c>
      <c r="F25" s="5" t="s">
        <v>1253</v>
      </c>
      <c r="G25" s="19">
        <v>9.7216</v>
      </c>
      <c r="H25" s="33" t="s">
        <v>1177</v>
      </c>
    </row>
    <row r="26" spans="1:8" ht="12.75">
      <c r="A26" s="5" t="s">
        <v>18</v>
      </c>
      <c r="B26" s="5"/>
      <c r="C26" s="5" t="s">
        <v>391</v>
      </c>
      <c r="D26" s="5" t="s">
        <v>758</v>
      </c>
      <c r="E26" s="5" t="s">
        <v>1150</v>
      </c>
      <c r="F26" s="5" t="s">
        <v>1254</v>
      </c>
      <c r="G26" s="19">
        <v>0.436</v>
      </c>
      <c r="H26" s="33" t="s">
        <v>1177</v>
      </c>
    </row>
    <row r="27" spans="1:8" ht="12.75">
      <c r="A27" s="5" t="s">
        <v>19</v>
      </c>
      <c r="B27" s="5"/>
      <c r="C27" s="5" t="s">
        <v>392</v>
      </c>
      <c r="D27" s="5" t="s">
        <v>760</v>
      </c>
      <c r="E27" s="5" t="s">
        <v>1151</v>
      </c>
      <c r="F27" s="5" t="s">
        <v>1255</v>
      </c>
      <c r="G27" s="19">
        <v>92.087</v>
      </c>
      <c r="H27" s="33" t="s">
        <v>1177</v>
      </c>
    </row>
    <row r="28" spans="1:8" ht="12.75">
      <c r="A28" s="5" t="s">
        <v>20</v>
      </c>
      <c r="B28" s="5"/>
      <c r="C28" s="5" t="s">
        <v>393</v>
      </c>
      <c r="D28" s="5" t="s">
        <v>761</v>
      </c>
      <c r="E28" s="5" t="s">
        <v>1153</v>
      </c>
      <c r="G28" s="19">
        <v>3</v>
      </c>
      <c r="H28" s="33" t="s">
        <v>1177</v>
      </c>
    </row>
    <row r="29" spans="4:7" ht="12.75">
      <c r="D29" s="16" t="s">
        <v>762</v>
      </c>
      <c r="G29" s="19">
        <v>0</v>
      </c>
    </row>
    <row r="30" spans="1:8" ht="12.75">
      <c r="A30" s="5" t="s">
        <v>21</v>
      </c>
      <c r="B30" s="5"/>
      <c r="C30" s="5" t="s">
        <v>394</v>
      </c>
      <c r="D30" s="5" t="s">
        <v>763</v>
      </c>
      <c r="E30" s="5" t="s">
        <v>1153</v>
      </c>
      <c r="G30" s="19">
        <v>2</v>
      </c>
      <c r="H30" s="33" t="s">
        <v>1177</v>
      </c>
    </row>
    <row r="31" spans="4:7" ht="12.75">
      <c r="D31" s="16" t="s">
        <v>764</v>
      </c>
      <c r="G31" s="19">
        <v>0</v>
      </c>
    </row>
    <row r="32" spans="1:8" ht="12.75">
      <c r="A32" s="5" t="s">
        <v>22</v>
      </c>
      <c r="B32" s="5"/>
      <c r="C32" s="5" t="s">
        <v>395</v>
      </c>
      <c r="D32" s="5" t="s">
        <v>763</v>
      </c>
      <c r="E32" s="5" t="s">
        <v>1153</v>
      </c>
      <c r="G32" s="19">
        <v>6</v>
      </c>
      <c r="H32" s="33" t="s">
        <v>1177</v>
      </c>
    </row>
    <row r="33" spans="4:7" ht="12.75">
      <c r="D33" s="16" t="s">
        <v>765</v>
      </c>
      <c r="G33" s="19">
        <v>0</v>
      </c>
    </row>
    <row r="34" spans="1:8" ht="12.75">
      <c r="A34" s="5" t="s">
        <v>23</v>
      </c>
      <c r="B34" s="5"/>
      <c r="C34" s="5" t="s">
        <v>396</v>
      </c>
      <c r="D34" s="5" t="s">
        <v>766</v>
      </c>
      <c r="E34" s="5" t="s">
        <v>1152</v>
      </c>
      <c r="G34" s="19">
        <v>0.36156</v>
      </c>
      <c r="H34" s="33" t="s">
        <v>1177</v>
      </c>
    </row>
    <row r="35" spans="4:7" ht="12.75">
      <c r="D35" s="16" t="s">
        <v>767</v>
      </c>
      <c r="F35" s="5" t="s">
        <v>1256</v>
      </c>
      <c r="G35" s="19">
        <v>0.36156</v>
      </c>
    </row>
    <row r="36" spans="1:8" ht="12.75">
      <c r="A36" s="5" t="s">
        <v>24</v>
      </c>
      <c r="B36" s="5"/>
      <c r="C36" s="5" t="s">
        <v>397</v>
      </c>
      <c r="D36" s="5" t="s">
        <v>769</v>
      </c>
      <c r="E36" s="5" t="s">
        <v>1151</v>
      </c>
      <c r="F36" s="5" t="s">
        <v>1257</v>
      </c>
      <c r="G36" s="19">
        <v>26.3102</v>
      </c>
      <c r="H36" s="33" t="s">
        <v>1177</v>
      </c>
    </row>
    <row r="37" spans="1:8" ht="12.75">
      <c r="A37" s="5" t="s">
        <v>25</v>
      </c>
      <c r="B37" s="5"/>
      <c r="C37" s="5" t="s">
        <v>398</v>
      </c>
      <c r="D37" s="5" t="s">
        <v>770</v>
      </c>
      <c r="E37" s="5" t="s">
        <v>1151</v>
      </c>
      <c r="F37" s="5" t="s">
        <v>1258</v>
      </c>
      <c r="G37" s="19">
        <v>9.68</v>
      </c>
      <c r="H37" s="33" t="s">
        <v>1177</v>
      </c>
    </row>
    <row r="38" spans="1:8" ht="12.75">
      <c r="A38" s="5" t="s">
        <v>26</v>
      </c>
      <c r="B38" s="5"/>
      <c r="C38" s="5" t="s">
        <v>399</v>
      </c>
      <c r="D38" s="5" t="s">
        <v>771</v>
      </c>
      <c r="E38" s="5" t="s">
        <v>1151</v>
      </c>
      <c r="F38" s="5" t="s">
        <v>1259</v>
      </c>
      <c r="G38" s="19">
        <v>15.66</v>
      </c>
      <c r="H38" s="33" t="s">
        <v>1177</v>
      </c>
    </row>
    <row r="39" spans="1:8" ht="12.75">
      <c r="A39" s="5" t="s">
        <v>27</v>
      </c>
      <c r="B39" s="5"/>
      <c r="C39" s="5" t="s">
        <v>400</v>
      </c>
      <c r="D39" s="5" t="s">
        <v>773</v>
      </c>
      <c r="E39" s="5" t="s">
        <v>1151</v>
      </c>
      <c r="G39" s="19">
        <v>42.834</v>
      </c>
      <c r="H39" s="33" t="s">
        <v>1177</v>
      </c>
    </row>
    <row r="40" spans="4:7" ht="12.75">
      <c r="D40" s="16" t="s">
        <v>774</v>
      </c>
      <c r="F40" s="5" t="s">
        <v>1260</v>
      </c>
      <c r="G40" s="19">
        <v>42.834</v>
      </c>
    </row>
    <row r="41" spans="1:8" ht="12.75">
      <c r="A41" s="5" t="s">
        <v>28</v>
      </c>
      <c r="B41" s="5"/>
      <c r="C41" s="5" t="s">
        <v>401</v>
      </c>
      <c r="D41" s="5" t="s">
        <v>775</v>
      </c>
      <c r="E41" s="5" t="s">
        <v>1150</v>
      </c>
      <c r="F41" s="5" t="s">
        <v>1261</v>
      </c>
      <c r="G41" s="19">
        <v>1.4126</v>
      </c>
      <c r="H41" s="33" t="s">
        <v>1177</v>
      </c>
    </row>
    <row r="42" spans="1:8" ht="12.75">
      <c r="A42" s="5" t="s">
        <v>29</v>
      </c>
      <c r="B42" s="5"/>
      <c r="C42" s="5" t="s">
        <v>402</v>
      </c>
      <c r="D42" s="5" t="s">
        <v>776</v>
      </c>
      <c r="E42" s="5" t="s">
        <v>1154</v>
      </c>
      <c r="F42" s="5" t="s">
        <v>1262</v>
      </c>
      <c r="G42" s="19">
        <v>28.252</v>
      </c>
      <c r="H42" s="33" t="s">
        <v>1177</v>
      </c>
    </row>
    <row r="43" spans="1:8" ht="12.75">
      <c r="A43" s="5" t="s">
        <v>30</v>
      </c>
      <c r="B43" s="5"/>
      <c r="C43" s="5" t="s">
        <v>403</v>
      </c>
      <c r="D43" s="5" t="s">
        <v>777</v>
      </c>
      <c r="E43" s="5" t="s">
        <v>1151</v>
      </c>
      <c r="G43" s="19">
        <v>28.252</v>
      </c>
      <c r="H43" s="33" t="s">
        <v>1177</v>
      </c>
    </row>
    <row r="44" spans="1:8" ht="12.75">
      <c r="A44" s="5" t="s">
        <v>31</v>
      </c>
      <c r="B44" s="5"/>
      <c r="C44" s="5" t="s">
        <v>404</v>
      </c>
      <c r="D44" s="5" t="s">
        <v>778</v>
      </c>
      <c r="E44" s="5" t="s">
        <v>1152</v>
      </c>
      <c r="F44" s="5" t="s">
        <v>1263</v>
      </c>
      <c r="G44" s="19">
        <v>0.03532</v>
      </c>
      <c r="H44" s="33" t="s">
        <v>1177</v>
      </c>
    </row>
    <row r="45" spans="1:8" ht="12.75">
      <c r="A45" s="5" t="s">
        <v>32</v>
      </c>
      <c r="B45" s="5"/>
      <c r="C45" s="5" t="s">
        <v>405</v>
      </c>
      <c r="D45" s="5" t="s">
        <v>780</v>
      </c>
      <c r="E45" s="5" t="s">
        <v>1154</v>
      </c>
      <c r="G45" s="19">
        <v>12.04</v>
      </c>
      <c r="H45" s="33" t="s">
        <v>1177</v>
      </c>
    </row>
    <row r="46" spans="4:7" ht="12.75">
      <c r="D46" s="16" t="s">
        <v>781</v>
      </c>
      <c r="F46" s="5" t="s">
        <v>1264</v>
      </c>
      <c r="G46" s="19">
        <v>12.04</v>
      </c>
    </row>
    <row r="47" spans="1:8" ht="12.75">
      <c r="A47" s="5" t="s">
        <v>33</v>
      </c>
      <c r="B47" s="5"/>
      <c r="C47" s="5" t="s">
        <v>406</v>
      </c>
      <c r="D47" s="5" t="s">
        <v>782</v>
      </c>
      <c r="E47" s="5" t="s">
        <v>1151</v>
      </c>
      <c r="G47" s="19">
        <v>5</v>
      </c>
      <c r="H47" s="33" t="s">
        <v>1177</v>
      </c>
    </row>
    <row r="48" spans="1:8" ht="12.75">
      <c r="A48" s="5" t="s">
        <v>34</v>
      </c>
      <c r="B48" s="5"/>
      <c r="C48" s="5" t="s">
        <v>407</v>
      </c>
      <c r="D48" s="5" t="s">
        <v>784</v>
      </c>
      <c r="E48" s="5" t="s">
        <v>1151</v>
      </c>
      <c r="F48" s="5" t="s">
        <v>1265</v>
      </c>
      <c r="G48" s="19">
        <v>11.312</v>
      </c>
      <c r="H48" s="33" t="s">
        <v>1177</v>
      </c>
    </row>
    <row r="49" spans="1:8" ht="12.75">
      <c r="A49" s="5" t="s">
        <v>35</v>
      </c>
      <c r="B49" s="5"/>
      <c r="C49" s="5" t="s">
        <v>408</v>
      </c>
      <c r="D49" s="5" t="s">
        <v>786</v>
      </c>
      <c r="E49" s="5" t="s">
        <v>1151</v>
      </c>
      <c r="G49" s="19">
        <v>81.259</v>
      </c>
      <c r="H49" s="33" t="s">
        <v>1177</v>
      </c>
    </row>
    <row r="50" spans="4:7" ht="12.75">
      <c r="D50" s="16" t="s">
        <v>787</v>
      </c>
      <c r="F50" s="5" t="s">
        <v>1266</v>
      </c>
      <c r="G50" s="19">
        <v>54.3455</v>
      </c>
    </row>
    <row r="51" spans="1:7" ht="12.75">
      <c r="A51" s="5"/>
      <c r="B51" s="5"/>
      <c r="C51" s="5"/>
      <c r="D51" s="5"/>
      <c r="E51" s="5"/>
      <c r="F51" s="5" t="s">
        <v>1267</v>
      </c>
      <c r="G51" s="19">
        <v>26.9135</v>
      </c>
    </row>
    <row r="52" spans="1:8" ht="12.75">
      <c r="A52" s="5" t="s">
        <v>36</v>
      </c>
      <c r="B52" s="5"/>
      <c r="C52" s="5" t="s">
        <v>409</v>
      </c>
      <c r="D52" s="5" t="s">
        <v>789</v>
      </c>
      <c r="E52" s="5" t="s">
        <v>1151</v>
      </c>
      <c r="F52" s="5" t="s">
        <v>1268</v>
      </c>
      <c r="G52" s="19">
        <v>4.8</v>
      </c>
      <c r="H52" s="33" t="s">
        <v>1177</v>
      </c>
    </row>
    <row r="53" spans="1:8" ht="12.75">
      <c r="A53" s="5" t="s">
        <v>37</v>
      </c>
      <c r="B53" s="5"/>
      <c r="C53" s="5" t="s">
        <v>410</v>
      </c>
      <c r="D53" s="5" t="s">
        <v>791</v>
      </c>
      <c r="E53" s="5" t="s">
        <v>1154</v>
      </c>
      <c r="F53" s="5" t="s">
        <v>1269</v>
      </c>
      <c r="G53" s="19">
        <v>19</v>
      </c>
      <c r="H53" s="33" t="s">
        <v>1177</v>
      </c>
    </row>
    <row r="54" spans="1:8" ht="12.75">
      <c r="A54" s="5" t="s">
        <v>38</v>
      </c>
      <c r="B54" s="5"/>
      <c r="C54" s="5" t="s">
        <v>411</v>
      </c>
      <c r="D54" s="5" t="s">
        <v>792</v>
      </c>
      <c r="E54" s="5" t="s">
        <v>1151</v>
      </c>
      <c r="F54" s="5" t="s">
        <v>1270</v>
      </c>
      <c r="G54" s="19">
        <v>22.939</v>
      </c>
      <c r="H54" s="33" t="s">
        <v>1177</v>
      </c>
    </row>
    <row r="55" spans="1:8" ht="12.75">
      <c r="A55" s="5" t="s">
        <v>39</v>
      </c>
      <c r="B55" s="5"/>
      <c r="C55" s="5" t="s">
        <v>412</v>
      </c>
      <c r="D55" s="5" t="s">
        <v>793</v>
      </c>
      <c r="E55" s="5" t="s">
        <v>1151</v>
      </c>
      <c r="G55" s="19">
        <v>83.5156</v>
      </c>
      <c r="H55" s="33" t="s">
        <v>1177</v>
      </c>
    </row>
    <row r="56" spans="4:7" ht="12.75">
      <c r="D56" s="16" t="s">
        <v>794</v>
      </c>
      <c r="F56" s="5" t="s">
        <v>1271</v>
      </c>
      <c r="G56" s="19">
        <v>83.5156</v>
      </c>
    </row>
    <row r="57" spans="1:8" ht="12.75">
      <c r="A57" s="5" t="s">
        <v>40</v>
      </c>
      <c r="B57" s="5"/>
      <c r="C57" s="5" t="s">
        <v>413</v>
      </c>
      <c r="D57" s="5" t="s">
        <v>795</v>
      </c>
      <c r="E57" s="5" t="s">
        <v>1151</v>
      </c>
      <c r="G57" s="19">
        <v>9.648</v>
      </c>
      <c r="H57" s="33" t="s">
        <v>1177</v>
      </c>
    </row>
    <row r="58" spans="4:7" ht="25.5">
      <c r="D58" s="16" t="s">
        <v>796</v>
      </c>
      <c r="F58" s="5" t="s">
        <v>1272</v>
      </c>
      <c r="G58" s="19">
        <v>9.648</v>
      </c>
    </row>
    <row r="59" spans="1:8" ht="12.75">
      <c r="A59" s="5" t="s">
        <v>41</v>
      </c>
      <c r="B59" s="5"/>
      <c r="C59" s="5" t="s">
        <v>414</v>
      </c>
      <c r="D59" s="5" t="s">
        <v>798</v>
      </c>
      <c r="E59" s="5" t="s">
        <v>1151</v>
      </c>
      <c r="G59" s="19">
        <v>51.726</v>
      </c>
      <c r="H59" s="33" t="s">
        <v>1177</v>
      </c>
    </row>
    <row r="60" spans="4:7" ht="12.75">
      <c r="D60" s="16" t="s">
        <v>799</v>
      </c>
      <c r="F60" s="5" t="s">
        <v>1273</v>
      </c>
      <c r="G60" s="19">
        <v>51.726</v>
      </c>
    </row>
    <row r="61" spans="1:8" ht="12.75">
      <c r="A61" s="5" t="s">
        <v>42</v>
      </c>
      <c r="B61" s="5"/>
      <c r="C61" s="5" t="s">
        <v>415</v>
      </c>
      <c r="D61" s="5" t="s">
        <v>800</v>
      </c>
      <c r="E61" s="5" t="s">
        <v>1151</v>
      </c>
      <c r="G61" s="19">
        <v>138.14</v>
      </c>
      <c r="H61" s="33" t="s">
        <v>1177</v>
      </c>
    </row>
    <row r="62" spans="4:7" ht="12.75">
      <c r="D62" s="16" t="s">
        <v>801</v>
      </c>
      <c r="F62" s="5" t="s">
        <v>1274</v>
      </c>
      <c r="G62" s="19">
        <v>138.14</v>
      </c>
    </row>
    <row r="63" spans="1:8" ht="12.75">
      <c r="A63" s="5" t="s">
        <v>43</v>
      </c>
      <c r="B63" s="5"/>
      <c r="C63" s="5" t="s">
        <v>416</v>
      </c>
      <c r="D63" s="5" t="s">
        <v>803</v>
      </c>
      <c r="E63" s="5" t="s">
        <v>1154</v>
      </c>
      <c r="G63" s="19">
        <v>76.86</v>
      </c>
      <c r="H63" s="33" t="s">
        <v>1177</v>
      </c>
    </row>
    <row r="64" spans="6:7" ht="12.75">
      <c r="F64" s="5" t="s">
        <v>1275</v>
      </c>
      <c r="G64" s="19">
        <v>29.58</v>
      </c>
    </row>
    <row r="65" spans="1:7" ht="12.75">
      <c r="A65" s="5"/>
      <c r="B65" s="5"/>
      <c r="C65" s="5"/>
      <c r="D65" s="5"/>
      <c r="E65" s="5"/>
      <c r="F65" s="5" t="s">
        <v>1276</v>
      </c>
      <c r="G65" s="19">
        <v>34.48</v>
      </c>
    </row>
    <row r="66" spans="1:7" ht="12.75">
      <c r="A66" s="5"/>
      <c r="B66" s="5"/>
      <c r="C66" s="5"/>
      <c r="D66" s="5"/>
      <c r="E66" s="5"/>
      <c r="F66" s="5" t="s">
        <v>1277</v>
      </c>
      <c r="G66" s="19">
        <v>12.8</v>
      </c>
    </row>
    <row r="67" spans="1:8" ht="12.75">
      <c r="A67" s="5" t="s">
        <v>44</v>
      </c>
      <c r="B67" s="5"/>
      <c r="C67" s="5" t="s">
        <v>417</v>
      </c>
      <c r="D67" s="5" t="s">
        <v>805</v>
      </c>
      <c r="E67" s="5" t="s">
        <v>1151</v>
      </c>
      <c r="G67" s="19">
        <v>50</v>
      </c>
      <c r="H67" s="33" t="s">
        <v>1177</v>
      </c>
    </row>
    <row r="68" spans="1:8" ht="12.75">
      <c r="A68" s="5" t="s">
        <v>45</v>
      </c>
      <c r="B68" s="5"/>
      <c r="C68" s="5" t="s">
        <v>418</v>
      </c>
      <c r="D68" s="5" t="s">
        <v>806</v>
      </c>
      <c r="E68" s="5" t="s">
        <v>1151</v>
      </c>
      <c r="G68" s="19">
        <v>30</v>
      </c>
      <c r="H68" s="33" t="s">
        <v>1177</v>
      </c>
    </row>
    <row r="69" spans="1:8" ht="12.75">
      <c r="A69" s="5" t="s">
        <v>46</v>
      </c>
      <c r="B69" s="5"/>
      <c r="C69" s="5" t="s">
        <v>419</v>
      </c>
      <c r="D69" s="5" t="s">
        <v>808</v>
      </c>
      <c r="E69" s="5" t="s">
        <v>1155</v>
      </c>
      <c r="G69" s="19">
        <v>10</v>
      </c>
      <c r="H69" s="33" t="s">
        <v>1177</v>
      </c>
    </row>
    <row r="70" spans="1:8" ht="12.75">
      <c r="A70" s="5" t="s">
        <v>47</v>
      </c>
      <c r="B70" s="5"/>
      <c r="C70" s="5" t="s">
        <v>420</v>
      </c>
      <c r="D70" s="5" t="s">
        <v>809</v>
      </c>
      <c r="E70" s="5" t="s">
        <v>1155</v>
      </c>
      <c r="G70" s="19">
        <v>1</v>
      </c>
      <c r="H70" s="33" t="s">
        <v>1177</v>
      </c>
    </row>
    <row r="71" spans="1:8" ht="12.75">
      <c r="A71" s="5" t="s">
        <v>48</v>
      </c>
      <c r="B71" s="5"/>
      <c r="C71" s="5" t="s">
        <v>421</v>
      </c>
      <c r="D71" s="5" t="s">
        <v>810</v>
      </c>
      <c r="E71" s="5" t="s">
        <v>1151</v>
      </c>
      <c r="F71" s="5" t="s">
        <v>1270</v>
      </c>
      <c r="G71" s="19">
        <v>22.939</v>
      </c>
      <c r="H71" s="33" t="s">
        <v>1177</v>
      </c>
    </row>
    <row r="72" spans="1:8" ht="12.75">
      <c r="A72" s="5" t="s">
        <v>49</v>
      </c>
      <c r="B72" s="5"/>
      <c r="C72" s="5" t="s">
        <v>422</v>
      </c>
      <c r="D72" s="5" t="s">
        <v>811</v>
      </c>
      <c r="E72" s="5" t="s">
        <v>1151</v>
      </c>
      <c r="F72" s="5" t="s">
        <v>1278</v>
      </c>
      <c r="G72" s="19">
        <v>40.91</v>
      </c>
      <c r="H72" s="33" t="s">
        <v>1177</v>
      </c>
    </row>
    <row r="73" spans="1:8" ht="12.75">
      <c r="A73" s="5" t="s">
        <v>50</v>
      </c>
      <c r="B73" s="5"/>
      <c r="C73" s="5" t="s">
        <v>423</v>
      </c>
      <c r="D73" s="5" t="s">
        <v>813</v>
      </c>
      <c r="E73" s="5" t="s">
        <v>1150</v>
      </c>
      <c r="G73" s="19">
        <v>1.9248</v>
      </c>
      <c r="H73" s="33" t="s">
        <v>1177</v>
      </c>
    </row>
    <row r="74" spans="6:7" ht="12.75">
      <c r="F74" s="5" t="s">
        <v>1279</v>
      </c>
      <c r="G74" s="19">
        <v>0.102</v>
      </c>
    </row>
    <row r="75" spans="1:7" ht="12.75">
      <c r="A75" s="5"/>
      <c r="B75" s="5"/>
      <c r="C75" s="5"/>
      <c r="D75" s="5"/>
      <c r="E75" s="5"/>
      <c r="F75" s="5" t="s">
        <v>1280</v>
      </c>
      <c r="G75" s="19">
        <v>1.8228</v>
      </c>
    </row>
    <row r="76" spans="1:8" ht="12.75">
      <c r="A76" s="5" t="s">
        <v>51</v>
      </c>
      <c r="B76" s="5"/>
      <c r="C76" s="5" t="s">
        <v>424</v>
      </c>
      <c r="D76" s="5" t="s">
        <v>814</v>
      </c>
      <c r="E76" s="5" t="s">
        <v>1150</v>
      </c>
      <c r="G76" s="19">
        <v>1.9248</v>
      </c>
      <c r="H76" s="33" t="s">
        <v>1177</v>
      </c>
    </row>
    <row r="77" spans="1:8" ht="12.75">
      <c r="A77" s="5" t="s">
        <v>52</v>
      </c>
      <c r="B77" s="5"/>
      <c r="C77" s="5" t="s">
        <v>426</v>
      </c>
      <c r="D77" s="5" t="s">
        <v>816</v>
      </c>
      <c r="E77" s="5" t="s">
        <v>1152</v>
      </c>
      <c r="G77" s="19">
        <v>4.2346</v>
      </c>
      <c r="H77" s="33" t="s">
        <v>1177</v>
      </c>
    </row>
    <row r="78" spans="1:8" ht="12.75">
      <c r="A78" s="5" t="s">
        <v>53</v>
      </c>
      <c r="B78" s="5"/>
      <c r="C78" s="5" t="s">
        <v>427</v>
      </c>
      <c r="D78" s="5" t="s">
        <v>817</v>
      </c>
      <c r="E78" s="5" t="s">
        <v>1152</v>
      </c>
      <c r="F78" s="5" t="s">
        <v>1281</v>
      </c>
      <c r="G78" s="19">
        <v>12.7038</v>
      </c>
      <c r="H78" s="33" t="s">
        <v>1177</v>
      </c>
    </row>
    <row r="79" spans="1:8" ht="12.75">
      <c r="A79" s="5" t="s">
        <v>54</v>
      </c>
      <c r="B79" s="5"/>
      <c r="C79" s="5" t="s">
        <v>428</v>
      </c>
      <c r="D79" s="5" t="s">
        <v>818</v>
      </c>
      <c r="E79" s="5" t="s">
        <v>1152</v>
      </c>
      <c r="G79" s="19">
        <v>4.2346</v>
      </c>
      <c r="H79" s="33" t="s">
        <v>1177</v>
      </c>
    </row>
    <row r="80" spans="1:8" ht="12.75">
      <c r="A80" s="5" t="s">
        <v>55</v>
      </c>
      <c r="B80" s="5"/>
      <c r="C80" s="5" t="s">
        <v>429</v>
      </c>
      <c r="D80" s="5" t="s">
        <v>819</v>
      </c>
      <c r="E80" s="5" t="s">
        <v>1152</v>
      </c>
      <c r="F80" s="5" t="s">
        <v>1282</v>
      </c>
      <c r="G80" s="19">
        <v>8.4692</v>
      </c>
      <c r="H80" s="33" t="s">
        <v>1177</v>
      </c>
    </row>
    <row r="81" spans="1:8" ht="12.75">
      <c r="A81" s="5" t="s">
        <v>56</v>
      </c>
      <c r="B81" s="5"/>
      <c r="C81" s="5" t="s">
        <v>430</v>
      </c>
      <c r="D81" s="5" t="s">
        <v>820</v>
      </c>
      <c r="E81" s="5" t="s">
        <v>1152</v>
      </c>
      <c r="G81" s="19">
        <v>4.2346</v>
      </c>
      <c r="H81" s="33" t="s">
        <v>1177</v>
      </c>
    </row>
    <row r="82" spans="1:8" ht="12.75">
      <c r="A82" s="5" t="s">
        <v>57</v>
      </c>
      <c r="B82" s="5"/>
      <c r="C82" s="5" t="s">
        <v>431</v>
      </c>
      <c r="D82" s="5" t="s">
        <v>821</v>
      </c>
      <c r="E82" s="5" t="s">
        <v>1152</v>
      </c>
      <c r="G82" s="19">
        <v>4.2346</v>
      </c>
      <c r="H82" s="33" t="s">
        <v>1177</v>
      </c>
    </row>
    <row r="83" spans="1:8" ht="12.75">
      <c r="A83" s="5" t="s">
        <v>58</v>
      </c>
      <c r="B83" s="5"/>
      <c r="C83" s="5" t="s">
        <v>432</v>
      </c>
      <c r="D83" s="5" t="s">
        <v>822</v>
      </c>
      <c r="E83" s="5" t="s">
        <v>1152</v>
      </c>
      <c r="G83" s="19">
        <v>4.2346</v>
      </c>
      <c r="H83" s="33" t="s">
        <v>1177</v>
      </c>
    </row>
    <row r="84" spans="1:8" ht="12.75">
      <c r="A84" s="5" t="s">
        <v>59</v>
      </c>
      <c r="B84" s="5"/>
      <c r="C84" s="5" t="s">
        <v>434</v>
      </c>
      <c r="D84" s="5" t="s">
        <v>824</v>
      </c>
      <c r="E84" s="5" t="s">
        <v>1152</v>
      </c>
      <c r="F84" s="5" t="s">
        <v>1283</v>
      </c>
      <c r="G84" s="19">
        <v>166.166</v>
      </c>
      <c r="H84" s="33" t="s">
        <v>1177</v>
      </c>
    </row>
    <row r="85" spans="1:8" ht="12.75">
      <c r="A85" s="5" t="s">
        <v>60</v>
      </c>
      <c r="B85" s="5"/>
      <c r="C85" s="5" t="s">
        <v>436</v>
      </c>
      <c r="D85" s="5" t="s">
        <v>826</v>
      </c>
      <c r="E85" s="5" t="s">
        <v>1151</v>
      </c>
      <c r="G85" s="19">
        <v>51.726</v>
      </c>
      <c r="H85" s="33" t="s">
        <v>1177</v>
      </c>
    </row>
    <row r="86" spans="4:7" ht="12.75">
      <c r="D86" s="16" t="s">
        <v>827</v>
      </c>
      <c r="F86" s="5" t="s">
        <v>1273</v>
      </c>
      <c r="G86" s="19">
        <v>51.726</v>
      </c>
    </row>
    <row r="87" spans="1:8" ht="12.75">
      <c r="A87" s="5" t="s">
        <v>61</v>
      </c>
      <c r="B87" s="5"/>
      <c r="C87" s="5" t="s">
        <v>437</v>
      </c>
      <c r="D87" s="5" t="s">
        <v>828</v>
      </c>
      <c r="E87" s="5" t="s">
        <v>1151</v>
      </c>
      <c r="G87" s="19">
        <v>15.1632</v>
      </c>
      <c r="H87" s="33" t="s">
        <v>1177</v>
      </c>
    </row>
    <row r="88" spans="4:7" ht="12.75">
      <c r="D88" s="16" t="s">
        <v>827</v>
      </c>
      <c r="F88" s="5" t="s">
        <v>1284</v>
      </c>
      <c r="G88" s="19">
        <v>15.1632</v>
      </c>
    </row>
    <row r="89" spans="1:8" ht="12.75">
      <c r="A89" s="5" t="s">
        <v>62</v>
      </c>
      <c r="B89" s="5"/>
      <c r="C89" s="5" t="s">
        <v>438</v>
      </c>
      <c r="D89" s="5" t="s">
        <v>829</v>
      </c>
      <c r="E89" s="5" t="s">
        <v>1151</v>
      </c>
      <c r="G89" s="19">
        <v>51.726</v>
      </c>
      <c r="H89" s="33" t="s">
        <v>1177</v>
      </c>
    </row>
    <row r="90" spans="4:7" ht="12.75">
      <c r="D90" s="16" t="s">
        <v>827</v>
      </c>
      <c r="F90" s="5" t="s">
        <v>1273</v>
      </c>
      <c r="G90" s="19">
        <v>51.726</v>
      </c>
    </row>
    <row r="91" spans="1:8" ht="12.75">
      <c r="A91" s="7" t="s">
        <v>63</v>
      </c>
      <c r="B91" s="7"/>
      <c r="C91" s="7" t="s">
        <v>439</v>
      </c>
      <c r="D91" s="7" t="s">
        <v>830</v>
      </c>
      <c r="E91" s="7" t="s">
        <v>1151</v>
      </c>
      <c r="G91" s="20">
        <v>56.8986</v>
      </c>
      <c r="H91" s="34" t="s">
        <v>1177</v>
      </c>
    </row>
    <row r="92" spans="6:7" ht="12.75">
      <c r="F92" s="7" t="s">
        <v>1285</v>
      </c>
      <c r="G92" s="20">
        <v>51.726</v>
      </c>
    </row>
    <row r="93" spans="1:7" ht="12.75">
      <c r="A93" s="7"/>
      <c r="B93" s="7"/>
      <c r="C93" s="7"/>
      <c r="D93" s="7"/>
      <c r="E93" s="7"/>
      <c r="F93" s="7" t="s">
        <v>1286</v>
      </c>
      <c r="G93" s="20">
        <v>5.1726</v>
      </c>
    </row>
    <row r="94" spans="1:8" ht="12.75">
      <c r="A94" s="5" t="s">
        <v>64</v>
      </c>
      <c r="B94" s="5"/>
      <c r="C94" s="5" t="s">
        <v>440</v>
      </c>
      <c r="D94" s="5" t="s">
        <v>831</v>
      </c>
      <c r="E94" s="5" t="s">
        <v>1151</v>
      </c>
      <c r="G94" s="19">
        <v>15.1632</v>
      </c>
      <c r="H94" s="33" t="s">
        <v>1177</v>
      </c>
    </row>
    <row r="95" spans="4:7" ht="12.75">
      <c r="D95" s="16" t="s">
        <v>827</v>
      </c>
      <c r="F95" s="5" t="s">
        <v>1284</v>
      </c>
      <c r="G95" s="19">
        <v>15.1632</v>
      </c>
    </row>
    <row r="96" spans="1:8" ht="12.75">
      <c r="A96" s="7" t="s">
        <v>65</v>
      </c>
      <c r="B96" s="7"/>
      <c r="C96" s="7" t="s">
        <v>439</v>
      </c>
      <c r="D96" s="7" t="s">
        <v>830</v>
      </c>
      <c r="E96" s="7" t="s">
        <v>1151</v>
      </c>
      <c r="G96" s="20">
        <v>17.43768</v>
      </c>
      <c r="H96" s="34" t="s">
        <v>1177</v>
      </c>
    </row>
    <row r="97" spans="6:7" ht="12.75">
      <c r="F97" s="7" t="s">
        <v>1287</v>
      </c>
      <c r="G97" s="20">
        <v>15.1632</v>
      </c>
    </row>
    <row r="98" spans="1:7" ht="12.75">
      <c r="A98" s="7"/>
      <c r="B98" s="7"/>
      <c r="C98" s="7"/>
      <c r="D98" s="7"/>
      <c r="E98" s="7"/>
      <c r="F98" s="7" t="s">
        <v>1288</v>
      </c>
      <c r="G98" s="20">
        <v>2.27448</v>
      </c>
    </row>
    <row r="99" spans="1:8" ht="12.75">
      <c r="A99" s="5" t="s">
        <v>66</v>
      </c>
      <c r="B99" s="5"/>
      <c r="C99" s="5" t="s">
        <v>441</v>
      </c>
      <c r="D99" s="5" t="s">
        <v>832</v>
      </c>
      <c r="E99" s="5" t="s">
        <v>1151</v>
      </c>
      <c r="F99" s="5" t="s">
        <v>1278</v>
      </c>
      <c r="G99" s="19">
        <v>40.91</v>
      </c>
      <c r="H99" s="33" t="s">
        <v>1177</v>
      </c>
    </row>
    <row r="100" spans="1:8" ht="12.75">
      <c r="A100" s="5" t="s">
        <v>67</v>
      </c>
      <c r="B100" s="5"/>
      <c r="C100" s="5" t="s">
        <v>442</v>
      </c>
      <c r="D100" s="5" t="s">
        <v>833</v>
      </c>
      <c r="E100" s="5" t="s">
        <v>1151</v>
      </c>
      <c r="F100" s="5" t="s">
        <v>1289</v>
      </c>
      <c r="G100" s="19">
        <v>15.624</v>
      </c>
      <c r="H100" s="33" t="s">
        <v>1177</v>
      </c>
    </row>
    <row r="101" spans="1:8" ht="12.75">
      <c r="A101" s="5" t="s">
        <v>68</v>
      </c>
      <c r="B101" s="5"/>
      <c r="C101" s="5" t="s">
        <v>443</v>
      </c>
      <c r="D101" s="5" t="s">
        <v>834</v>
      </c>
      <c r="E101" s="5" t="s">
        <v>1151</v>
      </c>
      <c r="G101" s="19">
        <v>40.91</v>
      </c>
      <c r="H101" s="33" t="s">
        <v>1177</v>
      </c>
    </row>
    <row r="102" spans="4:7" ht="12.75">
      <c r="D102" s="16" t="s">
        <v>835</v>
      </c>
      <c r="G102" s="19">
        <v>0</v>
      </c>
    </row>
    <row r="103" spans="1:8" ht="12.75">
      <c r="A103" s="5" t="s">
        <v>69</v>
      </c>
      <c r="B103" s="5"/>
      <c r="C103" s="5" t="s">
        <v>444</v>
      </c>
      <c r="D103" s="5" t="s">
        <v>836</v>
      </c>
      <c r="E103" s="5" t="s">
        <v>1151</v>
      </c>
      <c r="G103" s="19">
        <v>15.624</v>
      </c>
      <c r="H103" s="33" t="s">
        <v>1177</v>
      </c>
    </row>
    <row r="104" spans="4:7" ht="12.75">
      <c r="D104" s="16" t="s">
        <v>835</v>
      </c>
      <c r="G104" s="19">
        <v>0</v>
      </c>
    </row>
    <row r="105" spans="1:8" ht="12.75">
      <c r="A105" s="5" t="s">
        <v>70</v>
      </c>
      <c r="B105" s="5"/>
      <c r="C105" s="5" t="s">
        <v>445</v>
      </c>
      <c r="D105" s="5" t="s">
        <v>837</v>
      </c>
      <c r="E105" s="5" t="s">
        <v>1154</v>
      </c>
      <c r="F105" s="5" t="s">
        <v>1290</v>
      </c>
      <c r="G105" s="19">
        <v>52.08</v>
      </c>
      <c r="H105" s="33" t="s">
        <v>1177</v>
      </c>
    </row>
    <row r="106" spans="1:8" ht="12.75">
      <c r="A106" s="5" t="s">
        <v>71</v>
      </c>
      <c r="B106" s="5"/>
      <c r="C106" s="5" t="s">
        <v>446</v>
      </c>
      <c r="D106" s="5" t="s">
        <v>838</v>
      </c>
      <c r="E106" s="5" t="s">
        <v>1152</v>
      </c>
      <c r="G106" s="19">
        <v>0.4953</v>
      </c>
      <c r="H106" s="33" t="s">
        <v>1177</v>
      </c>
    </row>
    <row r="107" spans="1:8" ht="12.75">
      <c r="A107" s="5" t="s">
        <v>72</v>
      </c>
      <c r="B107" s="5"/>
      <c r="C107" s="5" t="s">
        <v>448</v>
      </c>
      <c r="D107" s="5" t="s">
        <v>840</v>
      </c>
      <c r="E107" s="5" t="s">
        <v>1151</v>
      </c>
      <c r="G107" s="19">
        <v>129.5508</v>
      </c>
      <c r="H107" s="33" t="s">
        <v>1177</v>
      </c>
    </row>
    <row r="108" spans="4:7" ht="12.75">
      <c r="D108" s="16" t="s">
        <v>841</v>
      </c>
      <c r="G108" s="19">
        <v>0</v>
      </c>
    </row>
    <row r="109" spans="1:8" ht="12.75">
      <c r="A109" s="7" t="s">
        <v>73</v>
      </c>
      <c r="B109" s="7"/>
      <c r="C109" s="7" t="s">
        <v>449</v>
      </c>
      <c r="D109" s="7" t="s">
        <v>842</v>
      </c>
      <c r="E109" s="7" t="s">
        <v>1151</v>
      </c>
      <c r="G109" s="20">
        <v>155.46096</v>
      </c>
      <c r="H109" s="34" t="s">
        <v>1177</v>
      </c>
    </row>
    <row r="110" spans="6:7" ht="12.75">
      <c r="F110" s="7" t="s">
        <v>1291</v>
      </c>
      <c r="G110" s="20">
        <v>129.5508</v>
      </c>
    </row>
    <row r="111" spans="1:7" ht="12.75">
      <c r="A111" s="7"/>
      <c r="B111" s="7"/>
      <c r="C111" s="7"/>
      <c r="D111" s="7"/>
      <c r="E111" s="7"/>
      <c r="F111" s="7" t="s">
        <v>1292</v>
      </c>
      <c r="G111" s="20">
        <v>25.91016</v>
      </c>
    </row>
    <row r="112" spans="1:8" ht="12.75">
      <c r="A112" s="5" t="s">
        <v>74</v>
      </c>
      <c r="B112" s="5"/>
      <c r="C112" s="5" t="s">
        <v>450</v>
      </c>
      <c r="D112" s="5" t="s">
        <v>843</v>
      </c>
      <c r="E112" s="5" t="s">
        <v>1151</v>
      </c>
      <c r="G112" s="19">
        <v>129.5508</v>
      </c>
      <c r="H112" s="33" t="s">
        <v>1177</v>
      </c>
    </row>
    <row r="113" spans="4:7" ht="12.75">
      <c r="D113" s="16" t="s">
        <v>844</v>
      </c>
      <c r="F113" s="5" t="s">
        <v>1293</v>
      </c>
      <c r="G113" s="19">
        <v>129.5508</v>
      </c>
    </row>
    <row r="114" spans="1:8" ht="12.75">
      <c r="A114" s="7" t="s">
        <v>75</v>
      </c>
      <c r="B114" s="7"/>
      <c r="C114" s="7" t="s">
        <v>451</v>
      </c>
      <c r="D114" s="7" t="s">
        <v>845</v>
      </c>
      <c r="E114" s="7" t="s">
        <v>1151</v>
      </c>
      <c r="G114" s="20">
        <v>148.98342</v>
      </c>
      <c r="H114" s="34" t="s">
        <v>1177</v>
      </c>
    </row>
    <row r="115" spans="6:7" ht="12.75">
      <c r="F115" s="7" t="s">
        <v>1291</v>
      </c>
      <c r="G115" s="20">
        <v>129.5508</v>
      </c>
    </row>
    <row r="116" spans="1:7" ht="12.75">
      <c r="A116" s="7"/>
      <c r="B116" s="7"/>
      <c r="C116" s="7"/>
      <c r="D116" s="7"/>
      <c r="E116" s="7"/>
      <c r="F116" s="7" t="s">
        <v>1294</v>
      </c>
      <c r="G116" s="20">
        <v>19.43262</v>
      </c>
    </row>
    <row r="117" spans="1:8" ht="12.75">
      <c r="A117" s="5" t="s">
        <v>76</v>
      </c>
      <c r="B117" s="5"/>
      <c r="C117" s="5" t="s">
        <v>452</v>
      </c>
      <c r="D117" s="5" t="s">
        <v>846</v>
      </c>
      <c r="E117" s="5" t="s">
        <v>1152</v>
      </c>
      <c r="G117" s="19">
        <v>0.3893</v>
      </c>
      <c r="H117" s="33" t="s">
        <v>1177</v>
      </c>
    </row>
    <row r="118" spans="1:8" ht="12.75">
      <c r="A118" s="5" t="s">
        <v>77</v>
      </c>
      <c r="B118" s="5"/>
      <c r="C118" s="5" t="s">
        <v>454</v>
      </c>
      <c r="D118" s="5" t="s">
        <v>848</v>
      </c>
      <c r="E118" s="5" t="s">
        <v>1151</v>
      </c>
      <c r="G118" s="19">
        <v>42.834</v>
      </c>
      <c r="H118" s="33" t="s">
        <v>1177</v>
      </c>
    </row>
    <row r="119" spans="4:7" ht="12.75">
      <c r="D119" s="16" t="s">
        <v>849</v>
      </c>
      <c r="F119" s="5" t="s">
        <v>1260</v>
      </c>
      <c r="G119" s="19">
        <v>42.834</v>
      </c>
    </row>
    <row r="120" spans="1:8" ht="12.75">
      <c r="A120" s="7" t="s">
        <v>78</v>
      </c>
      <c r="B120" s="7"/>
      <c r="C120" s="7" t="s">
        <v>455</v>
      </c>
      <c r="D120" s="7" t="s">
        <v>850</v>
      </c>
      <c r="E120" s="7" t="s">
        <v>1151</v>
      </c>
      <c r="G120" s="20">
        <v>49.2591</v>
      </c>
      <c r="H120" s="34" t="s">
        <v>1177</v>
      </c>
    </row>
    <row r="121" spans="6:7" ht="12.75">
      <c r="F121" s="7" t="s">
        <v>1295</v>
      </c>
      <c r="G121" s="20">
        <v>42.834</v>
      </c>
    </row>
    <row r="122" spans="1:7" ht="12.75">
      <c r="A122" s="7"/>
      <c r="B122" s="7"/>
      <c r="C122" s="7"/>
      <c r="D122" s="7"/>
      <c r="E122" s="7"/>
      <c r="F122" s="7" t="s">
        <v>1296</v>
      </c>
      <c r="G122" s="20">
        <v>6.4251</v>
      </c>
    </row>
    <row r="123" spans="1:8" ht="12.75">
      <c r="A123" s="5" t="s">
        <v>79</v>
      </c>
      <c r="B123" s="5"/>
      <c r="C123" s="5" t="s">
        <v>456</v>
      </c>
      <c r="D123" s="5" t="s">
        <v>851</v>
      </c>
      <c r="E123" s="5" t="s">
        <v>1151</v>
      </c>
      <c r="G123" s="19">
        <v>40.91</v>
      </c>
      <c r="H123" s="33" t="s">
        <v>1177</v>
      </c>
    </row>
    <row r="124" spans="4:7" ht="12.75">
      <c r="D124" s="16" t="s">
        <v>852</v>
      </c>
      <c r="F124" s="5" t="s">
        <v>1278</v>
      </c>
      <c r="G124" s="19">
        <v>40.91</v>
      </c>
    </row>
    <row r="125" spans="1:8" ht="12.75">
      <c r="A125" s="7" t="s">
        <v>80</v>
      </c>
      <c r="B125" s="7"/>
      <c r="C125" s="7" t="s">
        <v>457</v>
      </c>
      <c r="D125" s="7" t="s">
        <v>853</v>
      </c>
      <c r="E125" s="7" t="s">
        <v>1151</v>
      </c>
      <c r="G125" s="20">
        <v>42.9555</v>
      </c>
      <c r="H125" s="34" t="s">
        <v>1177</v>
      </c>
    </row>
    <row r="126" spans="6:7" ht="12.75">
      <c r="F126" s="7" t="s">
        <v>1297</v>
      </c>
      <c r="G126" s="20">
        <v>40.91</v>
      </c>
    </row>
    <row r="127" spans="1:7" ht="12.75">
      <c r="A127" s="7"/>
      <c r="B127" s="7"/>
      <c r="C127" s="7"/>
      <c r="D127" s="7"/>
      <c r="E127" s="7"/>
      <c r="F127" s="7" t="s">
        <v>1298</v>
      </c>
      <c r="G127" s="20">
        <v>2.0455</v>
      </c>
    </row>
    <row r="128" spans="1:8" ht="12.75">
      <c r="A128" s="5" t="s">
        <v>81</v>
      </c>
      <c r="B128" s="5"/>
      <c r="C128" s="5" t="s">
        <v>458</v>
      </c>
      <c r="D128" s="5" t="s">
        <v>854</v>
      </c>
      <c r="E128" s="5" t="s">
        <v>1151</v>
      </c>
      <c r="G128" s="19">
        <v>42.834</v>
      </c>
      <c r="H128" s="33" t="s">
        <v>1177</v>
      </c>
    </row>
    <row r="129" spans="4:7" ht="12.75">
      <c r="D129" s="16" t="s">
        <v>855</v>
      </c>
      <c r="G129" s="19">
        <v>0</v>
      </c>
    </row>
    <row r="130" spans="1:8" ht="12.75">
      <c r="A130" s="7" t="s">
        <v>82</v>
      </c>
      <c r="B130" s="7"/>
      <c r="C130" s="7" t="s">
        <v>459</v>
      </c>
      <c r="D130" s="7" t="s">
        <v>856</v>
      </c>
      <c r="E130" s="7" t="s">
        <v>1151</v>
      </c>
      <c r="G130" s="20">
        <v>49.2591</v>
      </c>
      <c r="H130" s="34" t="s">
        <v>1177</v>
      </c>
    </row>
    <row r="131" spans="6:7" ht="12.75">
      <c r="F131" s="7" t="s">
        <v>1295</v>
      </c>
      <c r="G131" s="20">
        <v>42.834</v>
      </c>
    </row>
    <row r="132" spans="1:7" ht="12.75">
      <c r="A132" s="7"/>
      <c r="B132" s="7"/>
      <c r="C132" s="7"/>
      <c r="D132" s="7"/>
      <c r="E132" s="7"/>
      <c r="F132" s="7" t="s">
        <v>1296</v>
      </c>
      <c r="G132" s="20">
        <v>6.4251</v>
      </c>
    </row>
    <row r="133" spans="1:8" ht="12.75">
      <c r="A133" s="5" t="s">
        <v>83</v>
      </c>
      <c r="B133" s="5"/>
      <c r="C133" s="5" t="s">
        <v>460</v>
      </c>
      <c r="D133" s="5" t="s">
        <v>857</v>
      </c>
      <c r="E133" s="5" t="s">
        <v>1151</v>
      </c>
      <c r="G133" s="19">
        <v>42.834</v>
      </c>
      <c r="H133" s="33" t="s">
        <v>1177</v>
      </c>
    </row>
    <row r="134" spans="4:7" ht="12.75">
      <c r="D134" s="16" t="s">
        <v>858</v>
      </c>
      <c r="F134" s="5" t="s">
        <v>1260</v>
      </c>
      <c r="G134" s="19">
        <v>42.834</v>
      </c>
    </row>
    <row r="135" spans="1:8" ht="12.75">
      <c r="A135" s="7" t="s">
        <v>84</v>
      </c>
      <c r="B135" s="7"/>
      <c r="C135" s="7" t="s">
        <v>461</v>
      </c>
      <c r="D135" s="7" t="s">
        <v>859</v>
      </c>
      <c r="E135" s="7" t="s">
        <v>1151</v>
      </c>
      <c r="G135" s="20">
        <v>44.9757</v>
      </c>
      <c r="H135" s="34" t="s">
        <v>1177</v>
      </c>
    </row>
    <row r="136" spans="6:7" ht="12.75">
      <c r="F136" s="7" t="s">
        <v>1295</v>
      </c>
      <c r="G136" s="20">
        <v>42.834</v>
      </c>
    </row>
    <row r="137" spans="1:7" ht="12.75">
      <c r="A137" s="7"/>
      <c r="B137" s="7"/>
      <c r="C137" s="7"/>
      <c r="D137" s="7"/>
      <c r="E137" s="7"/>
      <c r="F137" s="7" t="s">
        <v>1299</v>
      </c>
      <c r="G137" s="20">
        <v>2.1417</v>
      </c>
    </row>
    <row r="138" spans="1:8" ht="12.75">
      <c r="A138" s="5" t="s">
        <v>85</v>
      </c>
      <c r="B138" s="5"/>
      <c r="C138" s="5" t="s">
        <v>462</v>
      </c>
      <c r="D138" s="5" t="s">
        <v>860</v>
      </c>
      <c r="E138" s="5" t="s">
        <v>1152</v>
      </c>
      <c r="G138" s="19">
        <v>0.2846</v>
      </c>
      <c r="H138" s="33" t="s">
        <v>1177</v>
      </c>
    </row>
    <row r="139" spans="1:8" ht="12.75">
      <c r="A139" s="5" t="s">
        <v>86</v>
      </c>
      <c r="B139" s="5"/>
      <c r="C139" s="5" t="s">
        <v>464</v>
      </c>
      <c r="D139" s="5" t="s">
        <v>862</v>
      </c>
      <c r="E139" s="5" t="s">
        <v>1154</v>
      </c>
      <c r="G139" s="19">
        <v>6.1</v>
      </c>
      <c r="H139" s="33" t="s">
        <v>1177</v>
      </c>
    </row>
    <row r="140" spans="1:8" ht="12.75">
      <c r="A140" s="5" t="s">
        <v>87</v>
      </c>
      <c r="B140" s="5"/>
      <c r="C140" s="5" t="s">
        <v>465</v>
      </c>
      <c r="D140" s="5" t="s">
        <v>863</v>
      </c>
      <c r="E140" s="5" t="s">
        <v>1153</v>
      </c>
      <c r="G140" s="19">
        <v>1</v>
      </c>
      <c r="H140" s="33" t="s">
        <v>1177</v>
      </c>
    </row>
    <row r="141" spans="1:8" ht="12.75">
      <c r="A141" s="5" t="s">
        <v>88</v>
      </c>
      <c r="B141" s="5"/>
      <c r="C141" s="5" t="s">
        <v>466</v>
      </c>
      <c r="D141" s="5" t="s">
        <v>864</v>
      </c>
      <c r="E141" s="5" t="s">
        <v>1154</v>
      </c>
      <c r="G141" s="19">
        <v>6.1</v>
      </c>
      <c r="H141" s="33" t="s">
        <v>1177</v>
      </c>
    </row>
    <row r="142" spans="1:8" ht="12.75">
      <c r="A142" s="5" t="s">
        <v>89</v>
      </c>
      <c r="B142" s="5"/>
      <c r="C142" s="5" t="s">
        <v>467</v>
      </c>
      <c r="D142" s="5" t="s">
        <v>865</v>
      </c>
      <c r="E142" s="5" t="s">
        <v>1154</v>
      </c>
      <c r="G142" s="19">
        <v>6.1</v>
      </c>
      <c r="H142" s="33" t="s">
        <v>1177</v>
      </c>
    </row>
    <row r="143" spans="1:8" ht="12.75">
      <c r="A143" s="5" t="s">
        <v>90</v>
      </c>
      <c r="B143" s="5"/>
      <c r="C143" s="5" t="s">
        <v>468</v>
      </c>
      <c r="D143" s="5" t="s">
        <v>866</v>
      </c>
      <c r="E143" s="5" t="s">
        <v>1154</v>
      </c>
      <c r="G143" s="19">
        <v>6.1</v>
      </c>
      <c r="H143" s="33" t="s">
        <v>1177</v>
      </c>
    </row>
    <row r="144" spans="1:8" ht="12.75">
      <c r="A144" s="5" t="s">
        <v>91</v>
      </c>
      <c r="B144" s="5"/>
      <c r="C144" s="5" t="s">
        <v>469</v>
      </c>
      <c r="D144" s="5" t="s">
        <v>867</v>
      </c>
      <c r="E144" s="5" t="s">
        <v>1153</v>
      </c>
      <c r="G144" s="19">
        <v>1</v>
      </c>
      <c r="H144" s="33" t="s">
        <v>1177</v>
      </c>
    </row>
    <row r="145" spans="1:8" ht="12.75">
      <c r="A145" s="5" t="s">
        <v>92</v>
      </c>
      <c r="B145" s="5"/>
      <c r="C145" s="5" t="s">
        <v>470</v>
      </c>
      <c r="D145" s="5" t="s">
        <v>868</v>
      </c>
      <c r="E145" s="5" t="s">
        <v>1154</v>
      </c>
      <c r="G145" s="19">
        <v>9.7</v>
      </c>
      <c r="H145" s="33" t="s">
        <v>1177</v>
      </c>
    </row>
    <row r="146" spans="1:8" ht="12.75">
      <c r="A146" s="5" t="s">
        <v>93</v>
      </c>
      <c r="B146" s="5"/>
      <c r="C146" s="5" t="s">
        <v>471</v>
      </c>
      <c r="D146" s="5" t="s">
        <v>869</v>
      </c>
      <c r="E146" s="5" t="s">
        <v>1154</v>
      </c>
      <c r="G146" s="19">
        <v>16.6</v>
      </c>
      <c r="H146" s="33" t="s">
        <v>1177</v>
      </c>
    </row>
    <row r="147" spans="1:8" ht="12.75">
      <c r="A147" s="5" t="s">
        <v>94</v>
      </c>
      <c r="B147" s="5"/>
      <c r="C147" s="5" t="s">
        <v>472</v>
      </c>
      <c r="D147" s="5" t="s">
        <v>870</v>
      </c>
      <c r="E147" s="5" t="s">
        <v>1154</v>
      </c>
      <c r="G147" s="19">
        <v>13.8</v>
      </c>
      <c r="H147" s="33" t="s">
        <v>1177</v>
      </c>
    </row>
    <row r="148" spans="1:8" ht="12.75">
      <c r="A148" s="5" t="s">
        <v>95</v>
      </c>
      <c r="B148" s="5"/>
      <c r="C148" s="5" t="s">
        <v>473</v>
      </c>
      <c r="D148" s="5" t="s">
        <v>871</v>
      </c>
      <c r="E148" s="5" t="s">
        <v>1154</v>
      </c>
      <c r="G148" s="19">
        <v>1.8</v>
      </c>
      <c r="H148" s="33" t="s">
        <v>1177</v>
      </c>
    </row>
    <row r="149" spans="1:8" ht="12.75">
      <c r="A149" s="5" t="s">
        <v>96</v>
      </c>
      <c r="B149" s="5"/>
      <c r="C149" s="5" t="s">
        <v>474</v>
      </c>
      <c r="D149" s="5" t="s">
        <v>872</v>
      </c>
      <c r="E149" s="5" t="s">
        <v>1154</v>
      </c>
      <c r="G149" s="19">
        <v>19.6</v>
      </c>
      <c r="H149" s="33" t="s">
        <v>1177</v>
      </c>
    </row>
    <row r="150" spans="1:8" ht="12.75">
      <c r="A150" s="5" t="s">
        <v>97</v>
      </c>
      <c r="B150" s="5"/>
      <c r="C150" s="5" t="s">
        <v>475</v>
      </c>
      <c r="D150" s="5" t="s">
        <v>873</v>
      </c>
      <c r="E150" s="5" t="s">
        <v>1154</v>
      </c>
      <c r="G150" s="19">
        <v>2.9</v>
      </c>
      <c r="H150" s="33" t="s">
        <v>1177</v>
      </c>
    </row>
    <row r="151" spans="1:8" ht="12.75">
      <c r="A151" s="5" t="s">
        <v>98</v>
      </c>
      <c r="B151" s="5"/>
      <c r="C151" s="5" t="s">
        <v>476</v>
      </c>
      <c r="D151" s="5" t="s">
        <v>874</v>
      </c>
      <c r="E151" s="5" t="s">
        <v>1153</v>
      </c>
      <c r="G151" s="19">
        <v>13</v>
      </c>
      <c r="H151" s="33" t="s">
        <v>1177</v>
      </c>
    </row>
    <row r="152" spans="1:8" ht="12.75">
      <c r="A152" s="5" t="s">
        <v>99</v>
      </c>
      <c r="B152" s="5"/>
      <c r="C152" s="5" t="s">
        <v>477</v>
      </c>
      <c r="D152" s="5" t="s">
        <v>875</v>
      </c>
      <c r="E152" s="5" t="s">
        <v>1153</v>
      </c>
      <c r="G152" s="19">
        <v>2</v>
      </c>
      <c r="H152" s="33" t="s">
        <v>1177</v>
      </c>
    </row>
    <row r="153" spans="1:8" ht="12.75">
      <c r="A153" s="5" t="s">
        <v>100</v>
      </c>
      <c r="B153" s="5"/>
      <c r="C153" s="5" t="s">
        <v>478</v>
      </c>
      <c r="D153" s="5" t="s">
        <v>876</v>
      </c>
      <c r="E153" s="5" t="s">
        <v>1153</v>
      </c>
      <c r="G153" s="19">
        <v>2</v>
      </c>
      <c r="H153" s="33" t="s">
        <v>1177</v>
      </c>
    </row>
    <row r="154" spans="1:8" ht="12.75">
      <c r="A154" s="5" t="s">
        <v>101</v>
      </c>
      <c r="B154" s="5"/>
      <c r="C154" s="5" t="s">
        <v>479</v>
      </c>
      <c r="D154" s="5" t="s">
        <v>877</v>
      </c>
      <c r="E154" s="5" t="s">
        <v>1153</v>
      </c>
      <c r="G154" s="19">
        <v>2</v>
      </c>
      <c r="H154" s="33" t="s">
        <v>1177</v>
      </c>
    </row>
    <row r="155" spans="1:8" ht="12.75">
      <c r="A155" s="5" t="s">
        <v>102</v>
      </c>
      <c r="B155" s="5"/>
      <c r="C155" s="5" t="s">
        <v>480</v>
      </c>
      <c r="D155" s="5" t="s">
        <v>878</v>
      </c>
      <c r="E155" s="5" t="s">
        <v>1153</v>
      </c>
      <c r="G155" s="19">
        <v>1</v>
      </c>
      <c r="H155" s="33" t="s">
        <v>1177</v>
      </c>
    </row>
    <row r="156" spans="1:8" ht="12.75">
      <c r="A156" s="5" t="s">
        <v>103</v>
      </c>
      <c r="B156" s="5"/>
      <c r="C156" s="5" t="s">
        <v>481</v>
      </c>
      <c r="D156" s="5" t="s">
        <v>879</v>
      </c>
      <c r="E156" s="5" t="s">
        <v>1153</v>
      </c>
      <c r="G156" s="19">
        <v>3</v>
      </c>
      <c r="H156" s="33" t="s">
        <v>1177</v>
      </c>
    </row>
    <row r="157" spans="1:8" ht="12.75">
      <c r="A157" s="5" t="s">
        <v>104</v>
      </c>
      <c r="B157" s="5"/>
      <c r="C157" s="5" t="s">
        <v>482</v>
      </c>
      <c r="D157" s="5" t="s">
        <v>880</v>
      </c>
      <c r="E157" s="5" t="s">
        <v>1153</v>
      </c>
      <c r="G157" s="19">
        <v>1</v>
      </c>
      <c r="H157" s="33" t="s">
        <v>1177</v>
      </c>
    </row>
    <row r="158" spans="1:8" ht="12.75">
      <c r="A158" s="5" t="s">
        <v>105</v>
      </c>
      <c r="B158" s="5"/>
      <c r="C158" s="5" t="s">
        <v>483</v>
      </c>
      <c r="D158" s="5" t="s">
        <v>881</v>
      </c>
      <c r="E158" s="5" t="s">
        <v>1153</v>
      </c>
      <c r="G158" s="19">
        <v>1</v>
      </c>
      <c r="H158" s="33" t="s">
        <v>1177</v>
      </c>
    </row>
    <row r="159" spans="1:8" ht="12.75">
      <c r="A159" s="5" t="s">
        <v>106</v>
      </c>
      <c r="B159" s="5"/>
      <c r="C159" s="5" t="s">
        <v>484</v>
      </c>
      <c r="D159" s="5" t="s">
        <v>882</v>
      </c>
      <c r="E159" s="5" t="s">
        <v>1153</v>
      </c>
      <c r="G159" s="19">
        <v>1</v>
      </c>
      <c r="H159" s="33" t="s">
        <v>1177</v>
      </c>
    </row>
    <row r="160" spans="1:8" ht="12.75">
      <c r="A160" s="5" t="s">
        <v>107</v>
      </c>
      <c r="B160" s="5"/>
      <c r="C160" s="5" t="s">
        <v>485</v>
      </c>
      <c r="D160" s="5" t="s">
        <v>883</v>
      </c>
      <c r="E160" s="5" t="s">
        <v>1153</v>
      </c>
      <c r="G160" s="19">
        <v>3</v>
      </c>
      <c r="H160" s="33" t="s">
        <v>1177</v>
      </c>
    </row>
    <row r="161" spans="1:8" ht="12.75">
      <c r="A161" s="5" t="s">
        <v>108</v>
      </c>
      <c r="B161" s="5"/>
      <c r="C161" s="5" t="s">
        <v>486</v>
      </c>
      <c r="D161" s="5" t="s">
        <v>884</v>
      </c>
      <c r="E161" s="5" t="s">
        <v>1153</v>
      </c>
      <c r="G161" s="19">
        <v>1</v>
      </c>
      <c r="H161" s="33" t="s">
        <v>1177</v>
      </c>
    </row>
    <row r="162" spans="1:8" ht="12.75">
      <c r="A162" s="5" t="s">
        <v>109</v>
      </c>
      <c r="B162" s="5"/>
      <c r="C162" s="5" t="s">
        <v>487</v>
      </c>
      <c r="D162" s="5" t="s">
        <v>885</v>
      </c>
      <c r="E162" s="5" t="s">
        <v>1153</v>
      </c>
      <c r="G162" s="19">
        <v>1</v>
      </c>
      <c r="H162" s="33" t="s">
        <v>1177</v>
      </c>
    </row>
    <row r="163" spans="1:8" ht="12.75">
      <c r="A163" s="5" t="s">
        <v>110</v>
      </c>
      <c r="B163" s="5"/>
      <c r="C163" s="5" t="s">
        <v>488</v>
      </c>
      <c r="D163" s="5" t="s">
        <v>886</v>
      </c>
      <c r="E163" s="5" t="s">
        <v>1153</v>
      </c>
      <c r="G163" s="19">
        <v>1</v>
      </c>
      <c r="H163" s="33" t="s">
        <v>1177</v>
      </c>
    </row>
    <row r="164" spans="1:8" ht="12.75">
      <c r="A164" s="5" t="s">
        <v>111</v>
      </c>
      <c r="B164" s="5"/>
      <c r="C164" s="5" t="s">
        <v>489</v>
      </c>
      <c r="D164" s="5" t="s">
        <v>887</v>
      </c>
      <c r="E164" s="5" t="s">
        <v>1153</v>
      </c>
      <c r="G164" s="19">
        <v>1</v>
      </c>
      <c r="H164" s="33" t="s">
        <v>1177</v>
      </c>
    </row>
    <row r="165" spans="1:8" ht="12.75">
      <c r="A165" s="5" t="s">
        <v>112</v>
      </c>
      <c r="B165" s="5"/>
      <c r="C165" s="5" t="s">
        <v>490</v>
      </c>
      <c r="D165" s="5" t="s">
        <v>888</v>
      </c>
      <c r="E165" s="5" t="s">
        <v>1153</v>
      </c>
      <c r="G165" s="19">
        <v>1</v>
      </c>
      <c r="H165" s="33" t="s">
        <v>1177</v>
      </c>
    </row>
    <row r="166" spans="1:8" ht="12.75">
      <c r="A166" s="5" t="s">
        <v>113</v>
      </c>
      <c r="B166" s="5"/>
      <c r="C166" s="5" t="s">
        <v>491</v>
      </c>
      <c r="D166" s="5" t="s">
        <v>889</v>
      </c>
      <c r="E166" s="5" t="s">
        <v>1153</v>
      </c>
      <c r="G166" s="19">
        <v>1</v>
      </c>
      <c r="H166" s="33" t="s">
        <v>1177</v>
      </c>
    </row>
    <row r="167" spans="1:8" ht="12.75">
      <c r="A167" s="5" t="s">
        <v>114</v>
      </c>
      <c r="B167" s="5"/>
      <c r="C167" s="5" t="s">
        <v>492</v>
      </c>
      <c r="D167" s="5" t="s">
        <v>890</v>
      </c>
      <c r="E167" s="5" t="s">
        <v>1153</v>
      </c>
      <c r="G167" s="19">
        <v>1</v>
      </c>
      <c r="H167" s="33" t="s">
        <v>1177</v>
      </c>
    </row>
    <row r="168" spans="1:8" ht="12.75">
      <c r="A168" s="5" t="s">
        <v>115</v>
      </c>
      <c r="B168" s="5"/>
      <c r="C168" s="5" t="s">
        <v>493</v>
      </c>
      <c r="D168" s="5" t="s">
        <v>891</v>
      </c>
      <c r="E168" s="5" t="s">
        <v>1154</v>
      </c>
      <c r="G168" s="19">
        <v>13.8</v>
      </c>
      <c r="H168" s="33" t="s">
        <v>1177</v>
      </c>
    </row>
    <row r="169" spans="1:8" ht="12.75">
      <c r="A169" s="5" t="s">
        <v>116</v>
      </c>
      <c r="B169" s="5"/>
      <c r="C169" s="5" t="s">
        <v>494</v>
      </c>
      <c r="D169" s="5" t="s">
        <v>892</v>
      </c>
      <c r="E169" s="5" t="s">
        <v>1153</v>
      </c>
      <c r="G169" s="19">
        <v>1</v>
      </c>
      <c r="H169" s="33" t="s">
        <v>1177</v>
      </c>
    </row>
    <row r="170" spans="1:8" ht="12.75">
      <c r="A170" s="5" t="s">
        <v>117</v>
      </c>
      <c r="B170" s="5"/>
      <c r="C170" s="5" t="s">
        <v>495</v>
      </c>
      <c r="D170" s="5" t="s">
        <v>893</v>
      </c>
      <c r="E170" s="5" t="s">
        <v>1153</v>
      </c>
      <c r="G170" s="19">
        <v>1</v>
      </c>
      <c r="H170" s="33" t="s">
        <v>1177</v>
      </c>
    </row>
    <row r="171" spans="1:8" ht="12.75">
      <c r="A171" s="5" t="s">
        <v>118</v>
      </c>
      <c r="B171" s="5"/>
      <c r="C171" s="5" t="s">
        <v>495</v>
      </c>
      <c r="D171" s="5" t="s">
        <v>894</v>
      </c>
      <c r="E171" s="5" t="s">
        <v>1153</v>
      </c>
      <c r="G171" s="19">
        <v>2</v>
      </c>
      <c r="H171" s="33" t="s">
        <v>1177</v>
      </c>
    </row>
    <row r="172" spans="1:8" ht="12.75">
      <c r="A172" s="5" t="s">
        <v>119</v>
      </c>
      <c r="B172" s="5"/>
      <c r="C172" s="5" t="s">
        <v>496</v>
      </c>
      <c r="D172" s="5" t="s">
        <v>895</v>
      </c>
      <c r="E172" s="5" t="s">
        <v>1155</v>
      </c>
      <c r="G172" s="19">
        <v>15</v>
      </c>
      <c r="H172" s="33" t="s">
        <v>1177</v>
      </c>
    </row>
    <row r="173" spans="1:8" ht="12.75">
      <c r="A173" s="5" t="s">
        <v>120</v>
      </c>
      <c r="B173" s="5"/>
      <c r="C173" s="5" t="s">
        <v>497</v>
      </c>
      <c r="D173" s="5" t="s">
        <v>896</v>
      </c>
      <c r="E173" s="5" t="s">
        <v>1154</v>
      </c>
      <c r="G173" s="19">
        <v>64.4</v>
      </c>
      <c r="H173" s="33" t="s">
        <v>1177</v>
      </c>
    </row>
    <row r="174" spans="1:8" ht="12.75">
      <c r="A174" s="5" t="s">
        <v>121</v>
      </c>
      <c r="B174" s="5"/>
      <c r="C174" s="5" t="s">
        <v>498</v>
      </c>
      <c r="D174" s="5" t="s">
        <v>897</v>
      </c>
      <c r="E174" s="5" t="s">
        <v>1154</v>
      </c>
      <c r="G174" s="19">
        <v>64.4</v>
      </c>
      <c r="H174" s="33" t="s">
        <v>1177</v>
      </c>
    </row>
    <row r="175" spans="1:8" ht="12.75">
      <c r="A175" s="5" t="s">
        <v>122</v>
      </c>
      <c r="B175" s="5"/>
      <c r="C175" s="5" t="s">
        <v>499</v>
      </c>
      <c r="D175" s="5" t="s">
        <v>898</v>
      </c>
      <c r="E175" s="5" t="s">
        <v>1154</v>
      </c>
      <c r="G175" s="19">
        <v>64.4</v>
      </c>
      <c r="H175" s="33" t="s">
        <v>1177</v>
      </c>
    </row>
    <row r="176" spans="1:8" ht="12.75">
      <c r="A176" s="5" t="s">
        <v>123</v>
      </c>
      <c r="B176" s="5"/>
      <c r="C176" s="5" t="s">
        <v>500</v>
      </c>
      <c r="D176" s="5" t="s">
        <v>899</v>
      </c>
      <c r="E176" s="5" t="s">
        <v>1156</v>
      </c>
      <c r="G176" s="19">
        <v>1</v>
      </c>
      <c r="H176" s="33" t="s">
        <v>1177</v>
      </c>
    </row>
    <row r="177" spans="1:8" ht="12.75">
      <c r="A177" s="5" t="s">
        <v>124</v>
      </c>
      <c r="B177" s="5"/>
      <c r="C177" s="5" t="s">
        <v>501</v>
      </c>
      <c r="D177" s="5" t="s">
        <v>900</v>
      </c>
      <c r="E177" s="5" t="s">
        <v>1156</v>
      </c>
      <c r="G177" s="19">
        <v>1</v>
      </c>
      <c r="H177" s="33" t="s">
        <v>1177</v>
      </c>
    </row>
    <row r="178" spans="1:8" ht="12.75">
      <c r="A178" s="5" t="s">
        <v>125</v>
      </c>
      <c r="B178" s="5"/>
      <c r="C178" s="5" t="s">
        <v>502</v>
      </c>
      <c r="D178" s="5" t="s">
        <v>901</v>
      </c>
      <c r="E178" s="5" t="s">
        <v>1155</v>
      </c>
      <c r="G178" s="19">
        <v>25</v>
      </c>
      <c r="H178" s="33" t="s">
        <v>1177</v>
      </c>
    </row>
    <row r="179" spans="1:8" ht="12.75">
      <c r="A179" s="5" t="s">
        <v>126</v>
      </c>
      <c r="B179" s="5"/>
      <c r="C179" s="5" t="s">
        <v>503</v>
      </c>
      <c r="D179" s="5" t="s">
        <v>902</v>
      </c>
      <c r="E179" s="5" t="s">
        <v>1153</v>
      </c>
      <c r="G179" s="19">
        <v>1</v>
      </c>
      <c r="H179" s="33" t="s">
        <v>1177</v>
      </c>
    </row>
    <row r="180" spans="1:8" ht="12.75">
      <c r="A180" s="5" t="s">
        <v>127</v>
      </c>
      <c r="B180" s="5"/>
      <c r="C180" s="5" t="s">
        <v>504</v>
      </c>
      <c r="D180" s="5" t="s">
        <v>903</v>
      </c>
      <c r="E180" s="5" t="s">
        <v>1153</v>
      </c>
      <c r="G180" s="19">
        <v>1</v>
      </c>
      <c r="H180" s="33" t="s">
        <v>1177</v>
      </c>
    </row>
    <row r="181" spans="1:8" ht="12.75">
      <c r="A181" s="5" t="s">
        <v>128</v>
      </c>
      <c r="B181" s="5"/>
      <c r="C181" s="5" t="s">
        <v>505</v>
      </c>
      <c r="D181" s="5" t="s">
        <v>904</v>
      </c>
      <c r="E181" s="5" t="s">
        <v>1153</v>
      </c>
      <c r="G181" s="19">
        <v>1</v>
      </c>
      <c r="H181" s="33" t="s">
        <v>1177</v>
      </c>
    </row>
    <row r="182" spans="1:8" ht="12.75">
      <c r="A182" s="5" t="s">
        <v>129</v>
      </c>
      <c r="B182" s="5"/>
      <c r="C182" s="5" t="s">
        <v>464</v>
      </c>
      <c r="D182" s="5" t="s">
        <v>906</v>
      </c>
      <c r="E182" s="5" t="s">
        <v>1154</v>
      </c>
      <c r="G182" s="19">
        <v>6.1</v>
      </c>
      <c r="H182" s="33" t="s">
        <v>1177</v>
      </c>
    </row>
    <row r="183" spans="1:8" ht="12.75">
      <c r="A183" s="5" t="s">
        <v>130</v>
      </c>
      <c r="B183" s="5"/>
      <c r="C183" s="5" t="s">
        <v>465</v>
      </c>
      <c r="D183" s="5" t="s">
        <v>863</v>
      </c>
      <c r="E183" s="5" t="s">
        <v>1153</v>
      </c>
      <c r="G183" s="19">
        <v>1</v>
      </c>
      <c r="H183" s="33" t="s">
        <v>1177</v>
      </c>
    </row>
    <row r="184" spans="1:8" ht="12.75">
      <c r="A184" s="5" t="s">
        <v>131</v>
      </c>
      <c r="B184" s="5"/>
      <c r="C184" s="5" t="s">
        <v>466</v>
      </c>
      <c r="D184" s="5" t="s">
        <v>864</v>
      </c>
      <c r="E184" s="5" t="s">
        <v>1154</v>
      </c>
      <c r="G184" s="19">
        <v>6.1</v>
      </c>
      <c r="H184" s="33" t="s">
        <v>1177</v>
      </c>
    </row>
    <row r="185" spans="1:8" ht="12.75">
      <c r="A185" s="5" t="s">
        <v>132</v>
      </c>
      <c r="B185" s="5"/>
      <c r="C185" s="5" t="s">
        <v>467</v>
      </c>
      <c r="D185" s="5" t="s">
        <v>865</v>
      </c>
      <c r="E185" s="5" t="s">
        <v>1154</v>
      </c>
      <c r="G185" s="19">
        <v>6.1</v>
      </c>
      <c r="H185" s="33" t="s">
        <v>1177</v>
      </c>
    </row>
    <row r="186" spans="1:8" ht="12.75">
      <c r="A186" s="5" t="s">
        <v>133</v>
      </c>
      <c r="B186" s="5"/>
      <c r="C186" s="5" t="s">
        <v>468</v>
      </c>
      <c r="D186" s="5" t="s">
        <v>866</v>
      </c>
      <c r="E186" s="5" t="s">
        <v>1154</v>
      </c>
      <c r="G186" s="19">
        <v>6.1</v>
      </c>
      <c r="H186" s="33" t="s">
        <v>1177</v>
      </c>
    </row>
    <row r="187" spans="1:8" ht="12.75">
      <c r="A187" s="5" t="s">
        <v>134</v>
      </c>
      <c r="B187" s="5"/>
      <c r="C187" s="5" t="s">
        <v>469</v>
      </c>
      <c r="D187" s="5" t="s">
        <v>907</v>
      </c>
      <c r="E187" s="5" t="s">
        <v>1153</v>
      </c>
      <c r="G187" s="19">
        <v>1</v>
      </c>
      <c r="H187" s="33" t="s">
        <v>1177</v>
      </c>
    </row>
    <row r="188" spans="1:8" ht="12.75">
      <c r="A188" s="5" t="s">
        <v>135</v>
      </c>
      <c r="B188" s="5"/>
      <c r="C188" s="5" t="s">
        <v>507</v>
      </c>
      <c r="D188" s="5" t="s">
        <v>908</v>
      </c>
      <c r="E188" s="5" t="s">
        <v>1153</v>
      </c>
      <c r="G188" s="19">
        <v>1</v>
      </c>
      <c r="H188" s="33" t="s">
        <v>1177</v>
      </c>
    </row>
    <row r="189" spans="1:8" ht="12.75">
      <c r="A189" s="5" t="s">
        <v>136</v>
      </c>
      <c r="B189" s="5"/>
      <c r="C189" s="5" t="s">
        <v>508</v>
      </c>
      <c r="D189" s="5" t="s">
        <v>909</v>
      </c>
      <c r="E189" s="5" t="s">
        <v>1154</v>
      </c>
      <c r="G189" s="19">
        <v>17.1</v>
      </c>
      <c r="H189" s="33" t="s">
        <v>1177</v>
      </c>
    </row>
    <row r="190" spans="1:8" ht="12.75">
      <c r="A190" s="5" t="s">
        <v>137</v>
      </c>
      <c r="B190" s="5"/>
      <c r="C190" s="5" t="s">
        <v>509</v>
      </c>
      <c r="D190" s="5" t="s">
        <v>910</v>
      </c>
      <c r="E190" s="5" t="s">
        <v>1154</v>
      </c>
      <c r="G190" s="19">
        <v>45.4</v>
      </c>
      <c r="H190" s="33" t="s">
        <v>1177</v>
      </c>
    </row>
    <row r="191" spans="1:8" ht="12.75">
      <c r="A191" s="5" t="s">
        <v>138</v>
      </c>
      <c r="B191" s="5"/>
      <c r="C191" s="5" t="s">
        <v>510</v>
      </c>
      <c r="D191" s="5" t="s">
        <v>911</v>
      </c>
      <c r="E191" s="5" t="s">
        <v>1154</v>
      </c>
      <c r="G191" s="19">
        <v>6.7</v>
      </c>
      <c r="H191" s="33" t="s">
        <v>1177</v>
      </c>
    </row>
    <row r="192" spans="1:8" ht="12.75">
      <c r="A192" s="5" t="s">
        <v>139</v>
      </c>
      <c r="B192" s="5"/>
      <c r="C192" s="5" t="s">
        <v>511</v>
      </c>
      <c r="D192" s="5" t="s">
        <v>912</v>
      </c>
      <c r="E192" s="5" t="s">
        <v>1154</v>
      </c>
      <c r="G192" s="19">
        <v>6.4</v>
      </c>
      <c r="H192" s="33" t="s">
        <v>1177</v>
      </c>
    </row>
    <row r="193" spans="1:8" ht="12.75">
      <c r="A193" s="5" t="s">
        <v>140</v>
      </c>
      <c r="B193" s="5"/>
      <c r="C193" s="5" t="s">
        <v>512</v>
      </c>
      <c r="D193" s="5" t="s">
        <v>913</v>
      </c>
      <c r="E193" s="5" t="s">
        <v>1154</v>
      </c>
      <c r="G193" s="19">
        <v>45.4</v>
      </c>
      <c r="H193" s="33" t="s">
        <v>1177</v>
      </c>
    </row>
    <row r="194" spans="1:8" ht="12.75">
      <c r="A194" s="5" t="s">
        <v>141</v>
      </c>
      <c r="B194" s="5"/>
      <c r="C194" s="5" t="s">
        <v>513</v>
      </c>
      <c r="D194" s="5" t="s">
        <v>914</v>
      </c>
      <c r="E194" s="5" t="s">
        <v>1154</v>
      </c>
      <c r="G194" s="19">
        <v>6.7</v>
      </c>
      <c r="H194" s="33" t="s">
        <v>1177</v>
      </c>
    </row>
    <row r="195" spans="1:8" ht="12.75">
      <c r="A195" s="5" t="s">
        <v>142</v>
      </c>
      <c r="B195" s="5"/>
      <c r="C195" s="5" t="s">
        <v>514</v>
      </c>
      <c r="D195" s="5" t="s">
        <v>915</v>
      </c>
      <c r="E195" s="5" t="s">
        <v>1154</v>
      </c>
      <c r="G195" s="19">
        <v>6.4</v>
      </c>
      <c r="H195" s="33" t="s">
        <v>1177</v>
      </c>
    </row>
    <row r="196" spans="1:8" ht="12.75">
      <c r="A196" s="5" t="s">
        <v>143</v>
      </c>
      <c r="B196" s="5"/>
      <c r="C196" s="5" t="s">
        <v>515</v>
      </c>
      <c r="D196" s="5" t="s">
        <v>916</v>
      </c>
      <c r="E196" s="5" t="s">
        <v>1153</v>
      </c>
      <c r="G196" s="19">
        <v>2</v>
      </c>
      <c r="H196" s="33" t="s">
        <v>1177</v>
      </c>
    </row>
    <row r="197" spans="1:8" ht="12.75">
      <c r="A197" s="5" t="s">
        <v>144</v>
      </c>
      <c r="B197" s="5"/>
      <c r="C197" s="5" t="s">
        <v>516</v>
      </c>
      <c r="D197" s="5" t="s">
        <v>917</v>
      </c>
      <c r="E197" s="5" t="s">
        <v>1153</v>
      </c>
      <c r="G197" s="19">
        <v>1</v>
      </c>
      <c r="H197" s="33" t="s">
        <v>1177</v>
      </c>
    </row>
    <row r="198" spans="1:8" ht="12.75">
      <c r="A198" s="5" t="s">
        <v>145</v>
      </c>
      <c r="B198" s="5"/>
      <c r="C198" s="5" t="s">
        <v>517</v>
      </c>
      <c r="D198" s="5" t="s">
        <v>918</v>
      </c>
      <c r="E198" s="5" t="s">
        <v>1153</v>
      </c>
      <c r="G198" s="19">
        <v>3</v>
      </c>
      <c r="H198" s="33" t="s">
        <v>1177</v>
      </c>
    </row>
    <row r="199" spans="1:8" ht="12.75">
      <c r="A199" s="5" t="s">
        <v>146</v>
      </c>
      <c r="B199" s="5"/>
      <c r="C199" s="5" t="s">
        <v>518</v>
      </c>
      <c r="D199" s="5" t="s">
        <v>919</v>
      </c>
      <c r="E199" s="5" t="s">
        <v>1153</v>
      </c>
      <c r="G199" s="19">
        <v>1</v>
      </c>
      <c r="H199" s="33" t="s">
        <v>1177</v>
      </c>
    </row>
    <row r="200" spans="1:8" ht="12.75">
      <c r="A200" s="5" t="s">
        <v>147</v>
      </c>
      <c r="B200" s="5"/>
      <c r="C200" s="5" t="s">
        <v>519</v>
      </c>
      <c r="D200" s="5" t="s">
        <v>920</v>
      </c>
      <c r="E200" s="5" t="s">
        <v>1153</v>
      </c>
      <c r="G200" s="19">
        <v>1</v>
      </c>
      <c r="H200" s="33" t="s">
        <v>1177</v>
      </c>
    </row>
    <row r="201" spans="1:8" ht="12.75">
      <c r="A201" s="5" t="s">
        <v>148</v>
      </c>
      <c r="B201" s="5"/>
      <c r="C201" s="5" t="s">
        <v>520</v>
      </c>
      <c r="D201" s="5" t="s">
        <v>921</v>
      </c>
      <c r="E201" s="5" t="s">
        <v>1153</v>
      </c>
      <c r="G201" s="19">
        <v>1</v>
      </c>
      <c r="H201" s="33" t="s">
        <v>1177</v>
      </c>
    </row>
    <row r="202" spans="1:8" ht="12.75">
      <c r="A202" s="5" t="s">
        <v>149</v>
      </c>
      <c r="B202" s="5"/>
      <c r="C202" s="5" t="s">
        <v>521</v>
      </c>
      <c r="D202" s="5" t="s">
        <v>922</v>
      </c>
      <c r="E202" s="5" t="s">
        <v>1153</v>
      </c>
      <c r="G202" s="19">
        <v>1</v>
      </c>
      <c r="H202" s="33" t="s">
        <v>1177</v>
      </c>
    </row>
    <row r="203" spans="1:8" ht="12.75">
      <c r="A203" s="5" t="s">
        <v>150</v>
      </c>
      <c r="B203" s="5"/>
      <c r="C203" s="5" t="s">
        <v>522</v>
      </c>
      <c r="D203" s="5" t="s">
        <v>923</v>
      </c>
      <c r="E203" s="5" t="s">
        <v>1153</v>
      </c>
      <c r="G203" s="19">
        <v>2</v>
      </c>
      <c r="H203" s="33" t="s">
        <v>1177</v>
      </c>
    </row>
    <row r="204" spans="1:8" ht="12.75">
      <c r="A204" s="5" t="s">
        <v>151</v>
      </c>
      <c r="B204" s="5"/>
      <c r="C204" s="5" t="s">
        <v>523</v>
      </c>
      <c r="D204" s="5" t="s">
        <v>924</v>
      </c>
      <c r="E204" s="5" t="s">
        <v>1153</v>
      </c>
      <c r="G204" s="19">
        <v>1</v>
      </c>
      <c r="H204" s="33" t="s">
        <v>1177</v>
      </c>
    </row>
    <row r="205" spans="1:8" ht="12.75">
      <c r="A205" s="5" t="s">
        <v>152</v>
      </c>
      <c r="B205" s="5"/>
      <c r="C205" s="5" t="s">
        <v>524</v>
      </c>
      <c r="D205" s="5" t="s">
        <v>925</v>
      </c>
      <c r="E205" s="5" t="s">
        <v>1153</v>
      </c>
      <c r="G205" s="19">
        <v>1</v>
      </c>
      <c r="H205" s="33" t="s">
        <v>1177</v>
      </c>
    </row>
    <row r="206" spans="1:8" ht="12.75">
      <c r="A206" s="5" t="s">
        <v>153</v>
      </c>
      <c r="B206" s="5"/>
      <c r="C206" s="5" t="s">
        <v>525</v>
      </c>
      <c r="D206" s="5" t="s">
        <v>926</v>
      </c>
      <c r="E206" s="5" t="s">
        <v>1153</v>
      </c>
      <c r="G206" s="19">
        <v>13</v>
      </c>
      <c r="H206" s="33" t="s">
        <v>1177</v>
      </c>
    </row>
    <row r="207" spans="1:8" ht="12.75">
      <c r="A207" s="5" t="s">
        <v>154</v>
      </c>
      <c r="B207" s="5"/>
      <c r="C207" s="5" t="s">
        <v>526</v>
      </c>
      <c r="D207" s="5" t="s">
        <v>927</v>
      </c>
      <c r="E207" s="5" t="s">
        <v>1153</v>
      </c>
      <c r="G207" s="19">
        <v>6</v>
      </c>
      <c r="H207" s="33" t="s">
        <v>1177</v>
      </c>
    </row>
    <row r="208" spans="1:8" ht="12.75">
      <c r="A208" s="5" t="s">
        <v>155</v>
      </c>
      <c r="B208" s="5"/>
      <c r="C208" s="5" t="s">
        <v>527</v>
      </c>
      <c r="D208" s="5" t="s">
        <v>928</v>
      </c>
      <c r="E208" s="5" t="s">
        <v>1153</v>
      </c>
      <c r="G208" s="19">
        <v>2</v>
      </c>
      <c r="H208" s="33" t="s">
        <v>1177</v>
      </c>
    </row>
    <row r="209" spans="1:8" ht="12.75">
      <c r="A209" s="5" t="s">
        <v>156</v>
      </c>
      <c r="B209" s="5"/>
      <c r="C209" s="5" t="s">
        <v>528</v>
      </c>
      <c r="D209" s="5" t="s">
        <v>929</v>
      </c>
      <c r="E209" s="5" t="s">
        <v>1153</v>
      </c>
      <c r="G209" s="19">
        <v>3</v>
      </c>
      <c r="H209" s="33" t="s">
        <v>1177</v>
      </c>
    </row>
    <row r="210" spans="1:8" ht="12.75">
      <c r="A210" s="5" t="s">
        <v>157</v>
      </c>
      <c r="B210" s="5"/>
      <c r="C210" s="5" t="s">
        <v>529</v>
      </c>
      <c r="D210" s="5" t="s">
        <v>930</v>
      </c>
      <c r="E210" s="5" t="s">
        <v>1153</v>
      </c>
      <c r="G210" s="19">
        <v>1</v>
      </c>
      <c r="H210" s="33" t="s">
        <v>1177</v>
      </c>
    </row>
    <row r="211" spans="1:8" ht="12.75">
      <c r="A211" s="5" t="s">
        <v>158</v>
      </c>
      <c r="B211" s="5"/>
      <c r="C211" s="5" t="s">
        <v>530</v>
      </c>
      <c r="D211" s="5" t="s">
        <v>931</v>
      </c>
      <c r="E211" s="5" t="s">
        <v>1153</v>
      </c>
      <c r="G211" s="19">
        <v>1</v>
      </c>
      <c r="H211" s="33" t="s">
        <v>1177</v>
      </c>
    </row>
    <row r="212" spans="1:8" ht="12.75">
      <c r="A212" s="5" t="s">
        <v>159</v>
      </c>
      <c r="B212" s="5"/>
      <c r="C212" s="5" t="s">
        <v>531</v>
      </c>
      <c r="D212" s="5" t="s">
        <v>932</v>
      </c>
      <c r="E212" s="5" t="s">
        <v>1153</v>
      </c>
      <c r="G212" s="19">
        <v>1</v>
      </c>
      <c r="H212" s="33" t="s">
        <v>1177</v>
      </c>
    </row>
    <row r="213" spans="1:8" ht="12.75">
      <c r="A213" s="5" t="s">
        <v>160</v>
      </c>
      <c r="B213" s="5"/>
      <c r="C213" s="5" t="s">
        <v>532</v>
      </c>
      <c r="D213" s="5" t="s">
        <v>933</v>
      </c>
      <c r="E213" s="5" t="s">
        <v>1153</v>
      </c>
      <c r="G213" s="19">
        <v>1</v>
      </c>
      <c r="H213" s="33" t="s">
        <v>1177</v>
      </c>
    </row>
    <row r="214" spans="1:8" ht="12.75">
      <c r="A214" s="5" t="s">
        <v>161</v>
      </c>
      <c r="B214" s="5"/>
      <c r="C214" s="5" t="s">
        <v>533</v>
      </c>
      <c r="D214" s="5" t="s">
        <v>934</v>
      </c>
      <c r="E214" s="5" t="s">
        <v>1153</v>
      </c>
      <c r="G214" s="19">
        <v>1</v>
      </c>
      <c r="H214" s="33" t="s">
        <v>1177</v>
      </c>
    </row>
    <row r="215" spans="1:8" ht="12.75">
      <c r="A215" s="5" t="s">
        <v>162</v>
      </c>
      <c r="B215" s="5"/>
      <c r="C215" s="5" t="s">
        <v>534</v>
      </c>
      <c r="D215" s="5" t="s">
        <v>935</v>
      </c>
      <c r="E215" s="5" t="s">
        <v>1153</v>
      </c>
      <c r="G215" s="19">
        <v>2</v>
      </c>
      <c r="H215" s="33" t="s">
        <v>1177</v>
      </c>
    </row>
    <row r="216" spans="1:8" ht="12.75">
      <c r="A216" s="5" t="s">
        <v>163</v>
      </c>
      <c r="B216" s="5"/>
      <c r="C216" s="5" t="s">
        <v>535</v>
      </c>
      <c r="D216" s="5" t="s">
        <v>936</v>
      </c>
      <c r="E216" s="5" t="s">
        <v>1153</v>
      </c>
      <c r="G216" s="19">
        <v>1</v>
      </c>
      <c r="H216" s="33" t="s">
        <v>1177</v>
      </c>
    </row>
    <row r="217" spans="1:8" ht="12.75">
      <c r="A217" s="5" t="s">
        <v>164</v>
      </c>
      <c r="B217" s="5"/>
      <c r="C217" s="5" t="s">
        <v>536</v>
      </c>
      <c r="D217" s="5" t="s">
        <v>937</v>
      </c>
      <c r="E217" s="5" t="s">
        <v>1153</v>
      </c>
      <c r="G217" s="19">
        <v>1</v>
      </c>
      <c r="H217" s="33" t="s">
        <v>1177</v>
      </c>
    </row>
    <row r="218" spans="1:8" ht="12.75">
      <c r="A218" s="5" t="s">
        <v>165</v>
      </c>
      <c r="B218" s="5"/>
      <c r="C218" s="5" t="s">
        <v>537</v>
      </c>
      <c r="D218" s="5" t="s">
        <v>938</v>
      </c>
      <c r="E218" s="5" t="s">
        <v>1153</v>
      </c>
      <c r="G218" s="19">
        <v>1</v>
      </c>
      <c r="H218" s="33" t="s">
        <v>1177</v>
      </c>
    </row>
    <row r="219" spans="1:8" ht="12.75">
      <c r="A219" s="5" t="s">
        <v>166</v>
      </c>
      <c r="B219" s="5"/>
      <c r="C219" s="5" t="s">
        <v>538</v>
      </c>
      <c r="D219" s="5" t="s">
        <v>939</v>
      </c>
      <c r="E219" s="5" t="s">
        <v>1154</v>
      </c>
      <c r="G219" s="19">
        <v>29.25</v>
      </c>
      <c r="H219" s="33" t="s">
        <v>1177</v>
      </c>
    </row>
    <row r="220" spans="1:8" ht="12.75">
      <c r="A220" s="5" t="s">
        <v>167</v>
      </c>
      <c r="B220" s="5"/>
      <c r="C220" s="5" t="s">
        <v>539</v>
      </c>
      <c r="D220" s="5" t="s">
        <v>895</v>
      </c>
      <c r="E220" s="5" t="s">
        <v>1155</v>
      </c>
      <c r="G220" s="19">
        <v>15</v>
      </c>
      <c r="H220" s="33" t="s">
        <v>1177</v>
      </c>
    </row>
    <row r="221" spans="1:8" ht="12.75">
      <c r="A221" s="5" t="s">
        <v>168</v>
      </c>
      <c r="B221" s="5"/>
      <c r="C221" s="5" t="s">
        <v>540</v>
      </c>
      <c r="D221" s="5" t="s">
        <v>940</v>
      </c>
      <c r="E221" s="5" t="s">
        <v>1153</v>
      </c>
      <c r="G221" s="19">
        <v>1</v>
      </c>
      <c r="H221" s="33" t="s">
        <v>1177</v>
      </c>
    </row>
    <row r="222" spans="1:8" ht="12.75">
      <c r="A222" s="5" t="s">
        <v>169</v>
      </c>
      <c r="B222" s="5"/>
      <c r="C222" s="5" t="s">
        <v>541</v>
      </c>
      <c r="D222" s="5" t="s">
        <v>941</v>
      </c>
      <c r="E222" s="5" t="s">
        <v>1153</v>
      </c>
      <c r="G222" s="19">
        <v>2</v>
      </c>
      <c r="H222" s="33" t="s">
        <v>1177</v>
      </c>
    </row>
    <row r="223" spans="1:8" ht="12.75">
      <c r="A223" s="5" t="s">
        <v>170</v>
      </c>
      <c r="B223" s="5"/>
      <c r="C223" s="5" t="s">
        <v>542</v>
      </c>
      <c r="D223" s="5" t="s">
        <v>942</v>
      </c>
      <c r="E223" s="5" t="s">
        <v>1153</v>
      </c>
      <c r="G223" s="19">
        <v>1</v>
      </c>
      <c r="H223" s="33" t="s">
        <v>1177</v>
      </c>
    </row>
    <row r="224" spans="1:8" ht="12.75">
      <c r="A224" s="5" t="s">
        <v>171</v>
      </c>
      <c r="B224" s="5"/>
      <c r="C224" s="5" t="s">
        <v>543</v>
      </c>
      <c r="D224" s="5" t="s">
        <v>943</v>
      </c>
      <c r="E224" s="5" t="s">
        <v>1154</v>
      </c>
      <c r="G224" s="19">
        <v>75.6</v>
      </c>
      <c r="H224" s="33" t="s">
        <v>1177</v>
      </c>
    </row>
    <row r="225" spans="1:8" ht="12.75">
      <c r="A225" s="5" t="s">
        <v>172</v>
      </c>
      <c r="B225" s="5"/>
      <c r="C225" s="5" t="s">
        <v>544</v>
      </c>
      <c r="D225" s="5" t="s">
        <v>944</v>
      </c>
      <c r="E225" s="5" t="s">
        <v>1154</v>
      </c>
      <c r="G225" s="19">
        <v>75.6</v>
      </c>
      <c r="H225" s="33" t="s">
        <v>1177</v>
      </c>
    </row>
    <row r="226" spans="1:8" ht="12.75">
      <c r="A226" s="5" t="s">
        <v>173</v>
      </c>
      <c r="B226" s="5"/>
      <c r="C226" s="5" t="s">
        <v>545</v>
      </c>
      <c r="D226" s="5" t="s">
        <v>945</v>
      </c>
      <c r="E226" s="5" t="s">
        <v>1154</v>
      </c>
      <c r="G226" s="19">
        <v>75.6</v>
      </c>
      <c r="H226" s="33" t="s">
        <v>1177</v>
      </c>
    </row>
    <row r="227" spans="1:8" ht="12.75">
      <c r="A227" s="5" t="s">
        <v>174</v>
      </c>
      <c r="B227" s="5"/>
      <c r="C227" s="5" t="s">
        <v>546</v>
      </c>
      <c r="D227" s="5" t="s">
        <v>899</v>
      </c>
      <c r="E227" s="5" t="s">
        <v>1153</v>
      </c>
      <c r="G227" s="19">
        <v>1</v>
      </c>
      <c r="H227" s="33" t="s">
        <v>1177</v>
      </c>
    </row>
    <row r="228" spans="1:8" ht="12.75">
      <c r="A228" s="5" t="s">
        <v>175</v>
      </c>
      <c r="B228" s="5"/>
      <c r="C228" s="5" t="s">
        <v>547</v>
      </c>
      <c r="D228" s="5" t="s">
        <v>902</v>
      </c>
      <c r="E228" s="5" t="s">
        <v>1153</v>
      </c>
      <c r="G228" s="19">
        <v>1</v>
      </c>
      <c r="H228" s="33" t="s">
        <v>1177</v>
      </c>
    </row>
    <row r="229" spans="1:8" ht="12.75">
      <c r="A229" s="5" t="s">
        <v>176</v>
      </c>
      <c r="B229" s="5"/>
      <c r="C229" s="5" t="s">
        <v>548</v>
      </c>
      <c r="D229" s="5" t="s">
        <v>903</v>
      </c>
      <c r="E229" s="5" t="s">
        <v>1153</v>
      </c>
      <c r="G229" s="19">
        <v>1</v>
      </c>
      <c r="H229" s="33" t="s">
        <v>1177</v>
      </c>
    </row>
    <row r="230" spans="1:8" ht="12.75">
      <c r="A230" s="5" t="s">
        <v>177</v>
      </c>
      <c r="B230" s="5"/>
      <c r="C230" s="5" t="s">
        <v>549</v>
      </c>
      <c r="D230" s="5" t="s">
        <v>904</v>
      </c>
      <c r="E230" s="5" t="s">
        <v>1153</v>
      </c>
      <c r="G230" s="19">
        <v>1</v>
      </c>
      <c r="H230" s="33" t="s">
        <v>1177</v>
      </c>
    </row>
    <row r="231" spans="1:8" ht="12.75">
      <c r="A231" s="5" t="s">
        <v>178</v>
      </c>
      <c r="B231" s="5"/>
      <c r="C231" s="5" t="s">
        <v>551</v>
      </c>
      <c r="D231" s="5" t="s">
        <v>947</v>
      </c>
      <c r="E231" s="5" t="s">
        <v>1153</v>
      </c>
      <c r="G231" s="19">
        <v>10</v>
      </c>
      <c r="H231" s="33" t="s">
        <v>1177</v>
      </c>
    </row>
    <row r="232" spans="1:8" ht="12.75">
      <c r="A232" s="5" t="s">
        <v>179</v>
      </c>
      <c r="B232" s="5"/>
      <c r="C232" s="5" t="s">
        <v>552</v>
      </c>
      <c r="D232" s="5" t="s">
        <v>948</v>
      </c>
      <c r="E232" s="5" t="s">
        <v>1153</v>
      </c>
      <c r="G232" s="19">
        <v>6</v>
      </c>
      <c r="H232" s="33" t="s">
        <v>1177</v>
      </c>
    </row>
    <row r="233" spans="1:8" ht="12.75">
      <c r="A233" s="5" t="s">
        <v>180</v>
      </c>
      <c r="B233" s="5"/>
      <c r="C233" s="5" t="s">
        <v>553</v>
      </c>
      <c r="D233" s="5" t="s">
        <v>949</v>
      </c>
      <c r="E233" s="5" t="s">
        <v>1153</v>
      </c>
      <c r="G233" s="19">
        <v>42</v>
      </c>
      <c r="H233" s="33" t="s">
        <v>1177</v>
      </c>
    </row>
    <row r="234" spans="1:8" ht="12.75">
      <c r="A234" s="5" t="s">
        <v>181</v>
      </c>
      <c r="B234" s="5"/>
      <c r="C234" s="5" t="s">
        <v>554</v>
      </c>
      <c r="D234" s="5" t="s">
        <v>950</v>
      </c>
      <c r="E234" s="5" t="s">
        <v>1154</v>
      </c>
      <c r="G234" s="19">
        <v>120</v>
      </c>
      <c r="H234" s="33" t="s">
        <v>1177</v>
      </c>
    </row>
    <row r="235" spans="1:8" ht="12.75">
      <c r="A235" s="5" t="s">
        <v>182</v>
      </c>
      <c r="B235" s="5"/>
      <c r="C235" s="5" t="s">
        <v>555</v>
      </c>
      <c r="D235" s="5" t="s">
        <v>951</v>
      </c>
      <c r="E235" s="5" t="s">
        <v>1154</v>
      </c>
      <c r="G235" s="19">
        <v>12</v>
      </c>
      <c r="H235" s="33" t="s">
        <v>1177</v>
      </c>
    </row>
    <row r="236" spans="1:8" ht="12.75">
      <c r="A236" s="5" t="s">
        <v>183</v>
      </c>
      <c r="B236" s="5"/>
      <c r="C236" s="5" t="s">
        <v>556</v>
      </c>
      <c r="D236" s="5" t="s">
        <v>952</v>
      </c>
      <c r="E236" s="5" t="s">
        <v>1153</v>
      </c>
      <c r="G236" s="19">
        <v>1</v>
      </c>
      <c r="H236" s="33" t="s">
        <v>1177</v>
      </c>
    </row>
    <row r="237" spans="1:8" ht="12.75">
      <c r="A237" s="5" t="s">
        <v>184</v>
      </c>
      <c r="B237" s="5"/>
      <c r="C237" s="5" t="s">
        <v>557</v>
      </c>
      <c r="D237" s="5" t="s">
        <v>953</v>
      </c>
      <c r="E237" s="5" t="s">
        <v>1157</v>
      </c>
      <c r="G237" s="19">
        <v>2</v>
      </c>
      <c r="H237" s="33" t="s">
        <v>1177</v>
      </c>
    </row>
    <row r="238" spans="1:8" ht="12.75">
      <c r="A238" s="5" t="s">
        <v>185</v>
      </c>
      <c r="B238" s="5"/>
      <c r="C238" s="5" t="s">
        <v>558</v>
      </c>
      <c r="D238" s="5" t="s">
        <v>954</v>
      </c>
      <c r="E238" s="5" t="s">
        <v>1157</v>
      </c>
      <c r="G238" s="19">
        <v>1</v>
      </c>
      <c r="H238" s="33" t="s">
        <v>1177</v>
      </c>
    </row>
    <row r="239" spans="1:8" ht="12.75">
      <c r="A239" s="5" t="s">
        <v>186</v>
      </c>
      <c r="B239" s="5"/>
      <c r="C239" s="5" t="s">
        <v>559</v>
      </c>
      <c r="D239" s="5" t="s">
        <v>955</v>
      </c>
      <c r="E239" s="5" t="s">
        <v>1157</v>
      </c>
      <c r="G239" s="19">
        <v>1</v>
      </c>
      <c r="H239" s="33" t="s">
        <v>1177</v>
      </c>
    </row>
    <row r="240" spans="1:8" ht="12.75">
      <c r="A240" s="5" t="s">
        <v>187</v>
      </c>
      <c r="B240" s="5"/>
      <c r="C240" s="5" t="s">
        <v>560</v>
      </c>
      <c r="D240" s="5" t="s">
        <v>956</v>
      </c>
      <c r="E240" s="5" t="s">
        <v>1155</v>
      </c>
      <c r="G240" s="19">
        <v>4</v>
      </c>
      <c r="H240" s="33" t="s">
        <v>1177</v>
      </c>
    </row>
    <row r="241" spans="1:8" ht="12.75">
      <c r="A241" s="5" t="s">
        <v>188</v>
      </c>
      <c r="B241" s="5"/>
      <c r="C241" s="5" t="s">
        <v>561</v>
      </c>
      <c r="D241" s="5" t="s">
        <v>957</v>
      </c>
      <c r="E241" s="5" t="s">
        <v>1154</v>
      </c>
      <c r="G241" s="19">
        <v>40</v>
      </c>
      <c r="H241" s="33" t="s">
        <v>1177</v>
      </c>
    </row>
    <row r="242" spans="1:8" ht="12.75">
      <c r="A242" s="5" t="s">
        <v>189</v>
      </c>
      <c r="B242" s="5"/>
      <c r="C242" s="5" t="s">
        <v>562</v>
      </c>
      <c r="D242" s="5" t="s">
        <v>958</v>
      </c>
      <c r="E242" s="5" t="s">
        <v>1154</v>
      </c>
      <c r="G242" s="19">
        <v>40</v>
      </c>
      <c r="H242" s="33" t="s">
        <v>1177</v>
      </c>
    </row>
    <row r="243" spans="1:8" ht="12.75">
      <c r="A243" s="5" t="s">
        <v>190</v>
      </c>
      <c r="B243" s="5"/>
      <c r="C243" s="5" t="s">
        <v>563</v>
      </c>
      <c r="D243" s="5" t="s">
        <v>959</v>
      </c>
      <c r="E243" s="5" t="s">
        <v>1154</v>
      </c>
      <c r="G243" s="19">
        <v>60</v>
      </c>
      <c r="H243" s="33" t="s">
        <v>1177</v>
      </c>
    </row>
    <row r="244" spans="1:8" ht="12.75">
      <c r="A244" s="5" t="s">
        <v>191</v>
      </c>
      <c r="B244" s="5"/>
      <c r="C244" s="5" t="s">
        <v>564</v>
      </c>
      <c r="D244" s="5" t="s">
        <v>960</v>
      </c>
      <c r="E244" s="5" t="s">
        <v>1154</v>
      </c>
      <c r="G244" s="19">
        <v>60</v>
      </c>
      <c r="H244" s="33" t="s">
        <v>1177</v>
      </c>
    </row>
    <row r="245" spans="1:8" ht="12.75">
      <c r="A245" s="5" t="s">
        <v>192</v>
      </c>
      <c r="B245" s="5"/>
      <c r="C245" s="5" t="s">
        <v>565</v>
      </c>
      <c r="D245" s="5" t="s">
        <v>961</v>
      </c>
      <c r="E245" s="5" t="s">
        <v>1154</v>
      </c>
      <c r="G245" s="19">
        <v>40</v>
      </c>
      <c r="H245" s="33" t="s">
        <v>1177</v>
      </c>
    </row>
    <row r="246" spans="1:8" ht="12.75">
      <c r="A246" s="5" t="s">
        <v>193</v>
      </c>
      <c r="B246" s="5"/>
      <c r="C246" s="5" t="s">
        <v>566</v>
      </c>
      <c r="D246" s="5" t="s">
        <v>961</v>
      </c>
      <c r="E246" s="5" t="s">
        <v>1154</v>
      </c>
      <c r="G246" s="19">
        <v>40</v>
      </c>
      <c r="H246" s="33" t="s">
        <v>1177</v>
      </c>
    </row>
    <row r="247" spans="1:8" ht="12.75">
      <c r="A247" s="5" t="s">
        <v>194</v>
      </c>
      <c r="B247" s="5"/>
      <c r="C247" s="5" t="s">
        <v>567</v>
      </c>
      <c r="D247" s="5" t="s">
        <v>962</v>
      </c>
      <c r="E247" s="5" t="s">
        <v>1157</v>
      </c>
      <c r="G247" s="19">
        <v>24</v>
      </c>
      <c r="H247" s="33" t="s">
        <v>1177</v>
      </c>
    </row>
    <row r="248" spans="1:8" ht="12.75">
      <c r="A248" s="5" t="s">
        <v>195</v>
      </c>
      <c r="B248" s="5"/>
      <c r="C248" s="5" t="s">
        <v>568</v>
      </c>
      <c r="D248" s="5" t="s">
        <v>963</v>
      </c>
      <c r="E248" s="5" t="s">
        <v>1153</v>
      </c>
      <c r="G248" s="19">
        <v>9</v>
      </c>
      <c r="H248" s="33" t="s">
        <v>1177</v>
      </c>
    </row>
    <row r="249" spans="1:8" ht="12.75">
      <c r="A249" s="5" t="s">
        <v>196</v>
      </c>
      <c r="B249" s="5"/>
      <c r="C249" s="5" t="s">
        <v>569</v>
      </c>
      <c r="D249" s="5" t="s">
        <v>964</v>
      </c>
      <c r="E249" s="5" t="s">
        <v>1153</v>
      </c>
      <c r="G249" s="19">
        <v>1</v>
      </c>
      <c r="H249" s="33" t="s">
        <v>1177</v>
      </c>
    </row>
    <row r="250" spans="1:8" ht="12.75">
      <c r="A250" s="5" t="s">
        <v>197</v>
      </c>
      <c r="B250" s="5"/>
      <c r="C250" s="5" t="s">
        <v>570</v>
      </c>
      <c r="D250" s="5" t="s">
        <v>965</v>
      </c>
      <c r="E250" s="5" t="s">
        <v>1153</v>
      </c>
      <c r="G250" s="19">
        <v>2</v>
      </c>
      <c r="H250" s="33" t="s">
        <v>1177</v>
      </c>
    </row>
    <row r="251" spans="1:8" ht="12.75">
      <c r="A251" s="7" t="s">
        <v>198</v>
      </c>
      <c r="B251" s="7"/>
      <c r="C251" s="7" t="s">
        <v>571</v>
      </c>
      <c r="D251" s="7" t="s">
        <v>966</v>
      </c>
      <c r="E251" s="7" t="s">
        <v>1153</v>
      </c>
      <c r="G251" s="20">
        <v>12</v>
      </c>
      <c r="H251" s="34" t="s">
        <v>1177</v>
      </c>
    </row>
    <row r="252" spans="1:8" ht="12.75">
      <c r="A252" s="5" t="s">
        <v>199</v>
      </c>
      <c r="B252" s="5"/>
      <c r="C252" s="5" t="s">
        <v>572</v>
      </c>
      <c r="D252" s="5" t="s">
        <v>967</v>
      </c>
      <c r="E252" s="5" t="s">
        <v>1153</v>
      </c>
      <c r="G252" s="19">
        <v>2</v>
      </c>
      <c r="H252" s="33" t="s">
        <v>1177</v>
      </c>
    </row>
    <row r="253" spans="1:8" ht="12.75">
      <c r="A253" s="5" t="s">
        <v>200</v>
      </c>
      <c r="B253" s="5"/>
      <c r="C253" s="5" t="s">
        <v>573</v>
      </c>
      <c r="D253" s="5" t="s">
        <v>968</v>
      </c>
      <c r="E253" s="5" t="s">
        <v>1153</v>
      </c>
      <c r="G253" s="19">
        <v>2</v>
      </c>
      <c r="H253" s="33" t="s">
        <v>1177</v>
      </c>
    </row>
    <row r="254" spans="1:8" ht="12.75">
      <c r="A254" s="5" t="s">
        <v>201</v>
      </c>
      <c r="B254" s="5"/>
      <c r="C254" s="5" t="s">
        <v>574</v>
      </c>
      <c r="D254" s="5" t="s">
        <v>969</v>
      </c>
      <c r="E254" s="5" t="s">
        <v>1154</v>
      </c>
      <c r="G254" s="19">
        <v>10</v>
      </c>
      <c r="H254" s="33" t="s">
        <v>1177</v>
      </c>
    </row>
    <row r="255" spans="1:8" ht="12.75">
      <c r="A255" s="5" t="s">
        <v>202</v>
      </c>
      <c r="B255" s="5"/>
      <c r="C255" s="5" t="s">
        <v>575</v>
      </c>
      <c r="D255" s="5" t="s">
        <v>970</v>
      </c>
      <c r="E255" s="5" t="s">
        <v>1154</v>
      </c>
      <c r="G255" s="19">
        <v>10</v>
      </c>
      <c r="H255" s="33" t="s">
        <v>1177</v>
      </c>
    </row>
    <row r="256" spans="1:8" ht="12.75">
      <c r="A256" s="5" t="s">
        <v>203</v>
      </c>
      <c r="B256" s="5"/>
      <c r="C256" s="5" t="s">
        <v>576</v>
      </c>
      <c r="D256" s="5" t="s">
        <v>971</v>
      </c>
      <c r="E256" s="5" t="s">
        <v>1154</v>
      </c>
      <c r="G256" s="19">
        <v>4</v>
      </c>
      <c r="H256" s="33" t="s">
        <v>1177</v>
      </c>
    </row>
    <row r="257" spans="1:8" ht="12.75">
      <c r="A257" s="5" t="s">
        <v>204</v>
      </c>
      <c r="B257" s="5"/>
      <c r="C257" s="5" t="s">
        <v>577</v>
      </c>
      <c r="D257" s="5" t="s">
        <v>972</v>
      </c>
      <c r="E257" s="5" t="s">
        <v>1154</v>
      </c>
      <c r="G257" s="19">
        <v>4</v>
      </c>
      <c r="H257" s="33" t="s">
        <v>1177</v>
      </c>
    </row>
    <row r="258" spans="1:8" ht="12.75">
      <c r="A258" s="5" t="s">
        <v>205</v>
      </c>
      <c r="B258" s="5"/>
      <c r="C258" s="5" t="s">
        <v>578</v>
      </c>
      <c r="D258" s="5" t="s">
        <v>973</v>
      </c>
      <c r="E258" s="5" t="s">
        <v>1154</v>
      </c>
      <c r="G258" s="19">
        <v>6</v>
      </c>
      <c r="H258" s="33" t="s">
        <v>1177</v>
      </c>
    </row>
    <row r="259" spans="1:8" ht="12.75">
      <c r="A259" s="5" t="s">
        <v>206</v>
      </c>
      <c r="B259" s="5"/>
      <c r="C259" s="5" t="s">
        <v>579</v>
      </c>
      <c r="D259" s="5" t="s">
        <v>973</v>
      </c>
      <c r="E259" s="5" t="s">
        <v>1154</v>
      </c>
      <c r="G259" s="19">
        <v>6</v>
      </c>
      <c r="H259" s="33" t="s">
        <v>1177</v>
      </c>
    </row>
    <row r="260" spans="1:8" ht="12.75">
      <c r="A260" s="5" t="s">
        <v>207</v>
      </c>
      <c r="B260" s="5"/>
      <c r="C260" s="5" t="s">
        <v>580</v>
      </c>
      <c r="D260" s="5" t="s">
        <v>974</v>
      </c>
      <c r="E260" s="5" t="s">
        <v>1154</v>
      </c>
      <c r="G260" s="19">
        <v>70</v>
      </c>
      <c r="H260" s="33" t="s">
        <v>1177</v>
      </c>
    </row>
    <row r="261" spans="1:8" ht="12.75">
      <c r="A261" s="5" t="s">
        <v>208</v>
      </c>
      <c r="B261" s="5"/>
      <c r="C261" s="5" t="s">
        <v>581</v>
      </c>
      <c r="D261" s="5" t="s">
        <v>975</v>
      </c>
      <c r="E261" s="5" t="s">
        <v>1154</v>
      </c>
      <c r="G261" s="19">
        <v>30</v>
      </c>
      <c r="H261" s="33" t="s">
        <v>1177</v>
      </c>
    </row>
    <row r="262" spans="1:8" ht="12.75">
      <c r="A262" s="5" t="s">
        <v>209</v>
      </c>
      <c r="B262" s="5"/>
      <c r="C262" s="5" t="s">
        <v>582</v>
      </c>
      <c r="D262" s="5" t="s">
        <v>976</v>
      </c>
      <c r="E262" s="5" t="s">
        <v>1154</v>
      </c>
      <c r="G262" s="19">
        <v>40</v>
      </c>
      <c r="H262" s="33" t="s">
        <v>1177</v>
      </c>
    </row>
    <row r="263" spans="1:8" ht="12.75">
      <c r="A263" s="5" t="s">
        <v>210</v>
      </c>
      <c r="B263" s="5"/>
      <c r="C263" s="5" t="s">
        <v>583</v>
      </c>
      <c r="D263" s="5" t="s">
        <v>977</v>
      </c>
      <c r="E263" s="5" t="s">
        <v>1154</v>
      </c>
      <c r="G263" s="19">
        <v>6</v>
      </c>
      <c r="H263" s="33" t="s">
        <v>1177</v>
      </c>
    </row>
    <row r="264" spans="1:8" ht="12.75">
      <c r="A264" s="5" t="s">
        <v>211</v>
      </c>
      <c r="B264" s="5"/>
      <c r="C264" s="5" t="s">
        <v>584</v>
      </c>
      <c r="D264" s="5" t="s">
        <v>978</v>
      </c>
      <c r="E264" s="5" t="s">
        <v>1154</v>
      </c>
      <c r="G264" s="19">
        <v>6</v>
      </c>
      <c r="H264" s="33" t="s">
        <v>1177</v>
      </c>
    </row>
    <row r="265" spans="1:8" ht="12.75">
      <c r="A265" s="5" t="s">
        <v>212</v>
      </c>
      <c r="B265" s="5"/>
      <c r="C265" s="5" t="s">
        <v>585</v>
      </c>
      <c r="D265" s="5" t="s">
        <v>979</v>
      </c>
      <c r="E265" s="5" t="s">
        <v>1154</v>
      </c>
      <c r="G265" s="19">
        <v>400</v>
      </c>
      <c r="H265" s="33" t="s">
        <v>1177</v>
      </c>
    </row>
    <row r="266" spans="1:8" ht="12.75">
      <c r="A266" s="5" t="s">
        <v>213</v>
      </c>
      <c r="B266" s="5"/>
      <c r="C266" s="5" t="s">
        <v>586</v>
      </c>
      <c r="D266" s="5" t="s">
        <v>980</v>
      </c>
      <c r="E266" s="5" t="s">
        <v>1154</v>
      </c>
      <c r="G266" s="19">
        <v>360</v>
      </c>
      <c r="H266" s="33" t="s">
        <v>1177</v>
      </c>
    </row>
    <row r="267" spans="1:8" ht="12.75">
      <c r="A267" s="5" t="s">
        <v>214</v>
      </c>
      <c r="B267" s="5"/>
      <c r="C267" s="5" t="s">
        <v>587</v>
      </c>
      <c r="D267" s="5" t="s">
        <v>981</v>
      </c>
      <c r="E267" s="5" t="s">
        <v>1154</v>
      </c>
      <c r="G267" s="19">
        <v>40</v>
      </c>
      <c r="H267" s="33" t="s">
        <v>1177</v>
      </c>
    </row>
    <row r="268" spans="1:8" ht="12.75">
      <c r="A268" s="5" t="s">
        <v>215</v>
      </c>
      <c r="B268" s="5"/>
      <c r="C268" s="5" t="s">
        <v>588</v>
      </c>
      <c r="D268" s="5" t="s">
        <v>982</v>
      </c>
      <c r="E268" s="5" t="s">
        <v>1154</v>
      </c>
      <c r="G268" s="19">
        <v>30</v>
      </c>
      <c r="H268" s="33" t="s">
        <v>1177</v>
      </c>
    </row>
    <row r="269" spans="1:8" ht="12.75">
      <c r="A269" s="5" t="s">
        <v>216</v>
      </c>
      <c r="B269" s="5"/>
      <c r="C269" s="5" t="s">
        <v>589</v>
      </c>
      <c r="D269" s="5" t="s">
        <v>983</v>
      </c>
      <c r="E269" s="5" t="s">
        <v>1154</v>
      </c>
      <c r="G269" s="19">
        <v>30</v>
      </c>
      <c r="H269" s="33" t="s">
        <v>1177</v>
      </c>
    </row>
    <row r="270" spans="1:8" ht="12.75">
      <c r="A270" s="5" t="s">
        <v>217</v>
      </c>
      <c r="B270" s="5"/>
      <c r="C270" s="5" t="s">
        <v>590</v>
      </c>
      <c r="D270" s="5" t="s">
        <v>984</v>
      </c>
      <c r="E270" s="5" t="s">
        <v>1154</v>
      </c>
      <c r="G270" s="19">
        <v>30</v>
      </c>
      <c r="H270" s="33" t="s">
        <v>1177</v>
      </c>
    </row>
    <row r="271" spans="1:8" ht="12.75">
      <c r="A271" s="5" t="s">
        <v>218</v>
      </c>
      <c r="B271" s="5"/>
      <c r="C271" s="5" t="s">
        <v>591</v>
      </c>
      <c r="D271" s="5" t="s">
        <v>985</v>
      </c>
      <c r="E271" s="5" t="s">
        <v>1154</v>
      </c>
      <c r="G271" s="19">
        <v>30</v>
      </c>
      <c r="H271" s="33" t="s">
        <v>1177</v>
      </c>
    </row>
    <row r="272" spans="1:8" ht="12.75">
      <c r="A272" s="5" t="s">
        <v>219</v>
      </c>
      <c r="B272" s="5"/>
      <c r="C272" s="5" t="s">
        <v>592</v>
      </c>
      <c r="D272" s="5" t="s">
        <v>986</v>
      </c>
      <c r="E272" s="5" t="s">
        <v>1153</v>
      </c>
      <c r="G272" s="19">
        <v>39</v>
      </c>
      <c r="H272" s="33" t="s">
        <v>1177</v>
      </c>
    </row>
    <row r="273" spans="1:8" ht="12.75">
      <c r="A273" s="5" t="s">
        <v>220</v>
      </c>
      <c r="B273" s="5"/>
      <c r="C273" s="5" t="s">
        <v>593</v>
      </c>
      <c r="D273" s="5" t="s">
        <v>987</v>
      </c>
      <c r="E273" s="5" t="s">
        <v>1157</v>
      </c>
      <c r="G273" s="19">
        <v>21</v>
      </c>
      <c r="H273" s="33" t="s">
        <v>1177</v>
      </c>
    </row>
    <row r="274" spans="1:8" ht="12.75">
      <c r="A274" s="5" t="s">
        <v>221</v>
      </c>
      <c r="B274" s="5"/>
      <c r="C274" s="5" t="s">
        <v>594</v>
      </c>
      <c r="D274" s="5" t="s">
        <v>988</v>
      </c>
      <c r="E274" s="5" t="s">
        <v>1157</v>
      </c>
      <c r="G274" s="19">
        <v>2</v>
      </c>
      <c r="H274" s="33" t="s">
        <v>1177</v>
      </c>
    </row>
    <row r="275" spans="1:8" ht="12.75">
      <c r="A275" s="5" t="s">
        <v>222</v>
      </c>
      <c r="B275" s="5"/>
      <c r="C275" s="5" t="s">
        <v>595</v>
      </c>
      <c r="D275" s="5" t="s">
        <v>989</v>
      </c>
      <c r="E275" s="5" t="s">
        <v>1157</v>
      </c>
      <c r="G275" s="19">
        <v>12</v>
      </c>
      <c r="H275" s="33" t="s">
        <v>1177</v>
      </c>
    </row>
    <row r="276" spans="1:8" ht="12.75">
      <c r="A276" s="5" t="s">
        <v>223</v>
      </c>
      <c r="B276" s="5"/>
      <c r="C276" s="5" t="s">
        <v>596</v>
      </c>
      <c r="D276" s="5" t="s">
        <v>990</v>
      </c>
      <c r="E276" s="5" t="s">
        <v>1158</v>
      </c>
      <c r="G276" s="19">
        <v>4</v>
      </c>
      <c r="H276" s="33" t="s">
        <v>1177</v>
      </c>
    </row>
    <row r="277" spans="1:8" ht="12.75">
      <c r="A277" s="5" t="s">
        <v>224</v>
      </c>
      <c r="B277" s="5"/>
      <c r="C277" s="5" t="s">
        <v>597</v>
      </c>
      <c r="D277" s="5" t="s">
        <v>991</v>
      </c>
      <c r="E277" s="5" t="s">
        <v>1153</v>
      </c>
      <c r="G277" s="19">
        <v>10</v>
      </c>
      <c r="H277" s="33" t="s">
        <v>1177</v>
      </c>
    </row>
    <row r="278" spans="1:8" ht="12.75">
      <c r="A278" s="5" t="s">
        <v>225</v>
      </c>
      <c r="B278" s="5"/>
      <c r="C278" s="5" t="s">
        <v>598</v>
      </c>
      <c r="D278" s="5" t="s">
        <v>992</v>
      </c>
      <c r="E278" s="5" t="s">
        <v>1153</v>
      </c>
      <c r="G278" s="19">
        <v>1</v>
      </c>
      <c r="H278" s="33" t="s">
        <v>1177</v>
      </c>
    </row>
    <row r="279" spans="1:8" ht="12.75">
      <c r="A279" s="5" t="s">
        <v>226</v>
      </c>
      <c r="B279" s="5"/>
      <c r="C279" s="5" t="s">
        <v>599</v>
      </c>
      <c r="D279" s="5" t="s">
        <v>993</v>
      </c>
      <c r="E279" s="5" t="s">
        <v>1159</v>
      </c>
      <c r="G279" s="19">
        <v>1</v>
      </c>
      <c r="H279" s="33" t="s">
        <v>1177</v>
      </c>
    </row>
    <row r="280" spans="1:8" ht="12.75">
      <c r="A280" s="5" t="s">
        <v>227</v>
      </c>
      <c r="B280" s="5"/>
      <c r="C280" s="5" t="s">
        <v>600</v>
      </c>
      <c r="D280" s="5" t="s">
        <v>994</v>
      </c>
      <c r="E280" s="5" t="s">
        <v>1153</v>
      </c>
      <c r="G280" s="19">
        <v>9</v>
      </c>
      <c r="H280" s="33" t="s">
        <v>1177</v>
      </c>
    </row>
    <row r="281" spans="1:8" ht="12.75">
      <c r="A281" s="5" t="s">
        <v>228</v>
      </c>
      <c r="B281" s="5"/>
      <c r="C281" s="5" t="s">
        <v>601</v>
      </c>
      <c r="D281" s="5" t="s">
        <v>995</v>
      </c>
      <c r="E281" s="5" t="s">
        <v>1153</v>
      </c>
      <c r="G281" s="19">
        <v>9</v>
      </c>
      <c r="H281" s="33" t="s">
        <v>1177</v>
      </c>
    </row>
    <row r="282" spans="1:8" ht="12.75">
      <c r="A282" s="5" t="s">
        <v>229</v>
      </c>
      <c r="B282" s="5"/>
      <c r="C282" s="5" t="s">
        <v>602</v>
      </c>
      <c r="D282" s="5" t="s">
        <v>996</v>
      </c>
      <c r="E282" s="5" t="s">
        <v>1153</v>
      </c>
      <c r="G282" s="19">
        <v>1</v>
      </c>
      <c r="H282" s="33" t="s">
        <v>1177</v>
      </c>
    </row>
    <row r="283" spans="1:8" ht="12.75">
      <c r="A283" s="5" t="s">
        <v>230</v>
      </c>
      <c r="B283" s="5"/>
      <c r="C283" s="5" t="s">
        <v>603</v>
      </c>
      <c r="D283" s="5" t="s">
        <v>997</v>
      </c>
      <c r="E283" s="5" t="s">
        <v>1153</v>
      </c>
      <c r="G283" s="19">
        <v>1</v>
      </c>
      <c r="H283" s="33" t="s">
        <v>1177</v>
      </c>
    </row>
    <row r="284" spans="1:8" ht="12.75">
      <c r="A284" s="5" t="s">
        <v>231</v>
      </c>
      <c r="B284" s="5"/>
      <c r="C284" s="5" t="s">
        <v>604</v>
      </c>
      <c r="D284" s="5" t="s">
        <v>998</v>
      </c>
      <c r="E284" s="5" t="s">
        <v>1153</v>
      </c>
      <c r="G284" s="19">
        <v>1</v>
      </c>
      <c r="H284" s="33" t="s">
        <v>1177</v>
      </c>
    </row>
    <row r="285" spans="1:8" ht="12.75">
      <c r="A285" s="5" t="s">
        <v>232</v>
      </c>
      <c r="B285" s="5"/>
      <c r="C285" s="5" t="s">
        <v>605</v>
      </c>
      <c r="D285" s="5" t="s">
        <v>999</v>
      </c>
      <c r="E285" s="5" t="s">
        <v>1153</v>
      </c>
      <c r="G285" s="19">
        <v>1</v>
      </c>
      <c r="H285" s="33" t="s">
        <v>1177</v>
      </c>
    </row>
    <row r="286" spans="1:8" ht="12.75">
      <c r="A286" s="5" t="s">
        <v>233</v>
      </c>
      <c r="B286" s="5"/>
      <c r="C286" s="5" t="s">
        <v>606</v>
      </c>
      <c r="D286" s="5" t="s">
        <v>1000</v>
      </c>
      <c r="E286" s="5" t="s">
        <v>1153</v>
      </c>
      <c r="G286" s="19">
        <v>2</v>
      </c>
      <c r="H286" s="33" t="s">
        <v>1177</v>
      </c>
    </row>
    <row r="287" spans="1:8" ht="12.75">
      <c r="A287" s="5" t="s">
        <v>234</v>
      </c>
      <c r="B287" s="5"/>
      <c r="C287" s="5" t="s">
        <v>607</v>
      </c>
      <c r="D287" s="5" t="s">
        <v>1001</v>
      </c>
      <c r="E287" s="5" t="s">
        <v>1153</v>
      </c>
      <c r="G287" s="19">
        <v>2</v>
      </c>
      <c r="H287" s="33" t="s">
        <v>1177</v>
      </c>
    </row>
    <row r="288" spans="1:8" ht="12.75">
      <c r="A288" s="5" t="s">
        <v>235</v>
      </c>
      <c r="B288" s="5"/>
      <c r="C288" s="5" t="s">
        <v>608</v>
      </c>
      <c r="D288" s="5" t="s">
        <v>1002</v>
      </c>
      <c r="E288" s="5" t="s">
        <v>1153</v>
      </c>
      <c r="G288" s="19">
        <v>1</v>
      </c>
      <c r="H288" s="33" t="s">
        <v>1177</v>
      </c>
    </row>
    <row r="289" spans="1:8" ht="12.75">
      <c r="A289" s="5" t="s">
        <v>236</v>
      </c>
      <c r="B289" s="5"/>
      <c r="C289" s="5" t="s">
        <v>609</v>
      </c>
      <c r="D289" s="5" t="s">
        <v>1003</v>
      </c>
      <c r="E289" s="5" t="s">
        <v>1153</v>
      </c>
      <c r="G289" s="19">
        <v>48</v>
      </c>
      <c r="H289" s="33" t="s">
        <v>1177</v>
      </c>
    </row>
    <row r="290" spans="1:8" ht="12.75">
      <c r="A290" s="5" t="s">
        <v>237</v>
      </c>
      <c r="B290" s="5"/>
      <c r="C290" s="5" t="s">
        <v>610</v>
      </c>
      <c r="D290" s="5" t="s">
        <v>1004</v>
      </c>
      <c r="E290" s="5" t="s">
        <v>1153</v>
      </c>
      <c r="G290" s="19">
        <v>6</v>
      </c>
      <c r="H290" s="33" t="s">
        <v>1177</v>
      </c>
    </row>
    <row r="291" spans="1:8" ht="12.75">
      <c r="A291" s="5" t="s">
        <v>238</v>
      </c>
      <c r="B291" s="5"/>
      <c r="C291" s="5" t="s">
        <v>611</v>
      </c>
      <c r="D291" s="5" t="s">
        <v>1005</v>
      </c>
      <c r="E291" s="5" t="s">
        <v>1153</v>
      </c>
      <c r="G291" s="19">
        <v>12</v>
      </c>
      <c r="H291" s="33" t="s">
        <v>1177</v>
      </c>
    </row>
    <row r="292" spans="1:8" ht="12.75">
      <c r="A292" s="5" t="s">
        <v>239</v>
      </c>
      <c r="B292" s="5"/>
      <c r="C292" s="5" t="s">
        <v>612</v>
      </c>
      <c r="D292" s="5" t="s">
        <v>1006</v>
      </c>
      <c r="E292" s="5" t="s">
        <v>1153</v>
      </c>
      <c r="G292" s="19">
        <v>1</v>
      </c>
      <c r="H292" s="33" t="s">
        <v>1177</v>
      </c>
    </row>
    <row r="293" spans="1:8" ht="12.75">
      <c r="A293" s="5" t="s">
        <v>240</v>
      </c>
      <c r="B293" s="5"/>
      <c r="C293" s="5" t="s">
        <v>613</v>
      </c>
      <c r="D293" s="5" t="s">
        <v>1007</v>
      </c>
      <c r="E293" s="5" t="s">
        <v>1153</v>
      </c>
      <c r="G293" s="19">
        <v>24</v>
      </c>
      <c r="H293" s="33" t="s">
        <v>1177</v>
      </c>
    </row>
    <row r="294" spans="1:8" ht="12.75">
      <c r="A294" s="5" t="s">
        <v>241</v>
      </c>
      <c r="B294" s="5"/>
      <c r="C294" s="5" t="s">
        <v>614</v>
      </c>
      <c r="D294" s="5" t="s">
        <v>1008</v>
      </c>
      <c r="E294" s="5" t="s">
        <v>1153</v>
      </c>
      <c r="G294" s="19">
        <v>3</v>
      </c>
      <c r="H294" s="33" t="s">
        <v>1177</v>
      </c>
    </row>
    <row r="295" spans="1:8" ht="12.75">
      <c r="A295" s="5" t="s">
        <v>242</v>
      </c>
      <c r="B295" s="5"/>
      <c r="C295" s="5" t="s">
        <v>615</v>
      </c>
      <c r="D295" s="5" t="s">
        <v>1009</v>
      </c>
      <c r="E295" s="5" t="s">
        <v>1153</v>
      </c>
      <c r="G295" s="19">
        <v>2</v>
      </c>
      <c r="H295" s="33" t="s">
        <v>1177</v>
      </c>
    </row>
    <row r="296" spans="1:8" ht="12.75">
      <c r="A296" s="5" t="s">
        <v>243</v>
      </c>
      <c r="B296" s="5"/>
      <c r="C296" s="5" t="s">
        <v>616</v>
      </c>
      <c r="D296" s="5" t="s">
        <v>1010</v>
      </c>
      <c r="E296" s="5" t="s">
        <v>1160</v>
      </c>
      <c r="G296" s="19">
        <v>1</v>
      </c>
      <c r="H296" s="33" t="s">
        <v>1177</v>
      </c>
    </row>
    <row r="297" spans="1:8" ht="12.75">
      <c r="A297" s="5" t="s">
        <v>244</v>
      </c>
      <c r="B297" s="5"/>
      <c r="C297" s="5" t="s">
        <v>617</v>
      </c>
      <c r="D297" s="5" t="s">
        <v>1011</v>
      </c>
      <c r="E297" s="5" t="s">
        <v>1154</v>
      </c>
      <c r="G297" s="19">
        <v>6</v>
      </c>
      <c r="H297" s="33" t="s">
        <v>1177</v>
      </c>
    </row>
    <row r="298" spans="1:8" ht="12.75">
      <c r="A298" s="5" t="s">
        <v>245</v>
      </c>
      <c r="B298" s="5"/>
      <c r="C298" s="5" t="s">
        <v>618</v>
      </c>
      <c r="D298" s="5" t="s">
        <v>1011</v>
      </c>
      <c r="E298" s="5" t="s">
        <v>1154</v>
      </c>
      <c r="G298" s="19">
        <v>6</v>
      </c>
      <c r="H298" s="33" t="s">
        <v>1177</v>
      </c>
    </row>
    <row r="299" spans="1:8" ht="12.75">
      <c r="A299" s="5" t="s">
        <v>246</v>
      </c>
      <c r="B299" s="5"/>
      <c r="C299" s="5" t="s">
        <v>619</v>
      </c>
      <c r="D299" s="5" t="s">
        <v>1012</v>
      </c>
      <c r="E299" s="5" t="s">
        <v>1157</v>
      </c>
      <c r="G299" s="19">
        <v>4</v>
      </c>
      <c r="H299" s="33" t="s">
        <v>1177</v>
      </c>
    </row>
    <row r="300" spans="1:8" ht="12.75">
      <c r="A300" s="5" t="s">
        <v>247</v>
      </c>
      <c r="B300" s="5"/>
      <c r="C300" s="5" t="s">
        <v>620</v>
      </c>
      <c r="D300" s="5" t="s">
        <v>1012</v>
      </c>
      <c r="E300" s="5" t="s">
        <v>1157</v>
      </c>
      <c r="G300" s="19">
        <v>4</v>
      </c>
      <c r="H300" s="33" t="s">
        <v>1177</v>
      </c>
    </row>
    <row r="301" spans="1:8" ht="12.75">
      <c r="A301" s="5" t="s">
        <v>248</v>
      </c>
      <c r="B301" s="5"/>
      <c r="C301" s="5" t="s">
        <v>621</v>
      </c>
      <c r="D301" s="5" t="s">
        <v>1013</v>
      </c>
      <c r="E301" s="5" t="s">
        <v>1157</v>
      </c>
      <c r="G301" s="19">
        <v>2</v>
      </c>
      <c r="H301" s="33" t="s">
        <v>1177</v>
      </c>
    </row>
    <row r="302" spans="1:8" ht="12.75">
      <c r="A302" s="5" t="s">
        <v>249</v>
      </c>
      <c r="B302" s="5"/>
      <c r="C302" s="5" t="s">
        <v>622</v>
      </c>
      <c r="D302" s="5" t="s">
        <v>1013</v>
      </c>
      <c r="E302" s="5" t="s">
        <v>1157</v>
      </c>
      <c r="G302" s="19">
        <v>2</v>
      </c>
      <c r="H302" s="33" t="s">
        <v>1177</v>
      </c>
    </row>
    <row r="303" spans="1:8" ht="12.75">
      <c r="A303" s="5" t="s">
        <v>250</v>
      </c>
      <c r="B303" s="5"/>
      <c r="C303" s="5" t="s">
        <v>623</v>
      </c>
      <c r="D303" s="5" t="s">
        <v>1014</v>
      </c>
      <c r="E303" s="5" t="s">
        <v>1153</v>
      </c>
      <c r="G303" s="19">
        <v>1</v>
      </c>
      <c r="H303" s="33" t="s">
        <v>1177</v>
      </c>
    </row>
    <row r="304" spans="1:8" ht="12.75">
      <c r="A304" s="5" t="s">
        <v>251</v>
      </c>
      <c r="B304" s="5"/>
      <c r="C304" s="5" t="s">
        <v>624</v>
      </c>
      <c r="D304" s="5" t="s">
        <v>1015</v>
      </c>
      <c r="E304" s="5" t="s">
        <v>1160</v>
      </c>
      <c r="G304" s="19">
        <v>1</v>
      </c>
      <c r="H304" s="33" t="s">
        <v>1177</v>
      </c>
    </row>
    <row r="305" spans="1:8" ht="12.75">
      <c r="A305" s="5" t="s">
        <v>252</v>
      </c>
      <c r="B305" s="5"/>
      <c r="C305" s="5" t="s">
        <v>625</v>
      </c>
      <c r="D305" s="5" t="s">
        <v>1016</v>
      </c>
      <c r="E305" s="5" t="s">
        <v>1160</v>
      </c>
      <c r="G305" s="19">
        <v>1</v>
      </c>
      <c r="H305" s="33" t="s">
        <v>1177</v>
      </c>
    </row>
    <row r="306" spans="1:8" ht="12.75">
      <c r="A306" s="5" t="s">
        <v>253</v>
      </c>
      <c r="B306" s="5"/>
      <c r="C306" s="5" t="s">
        <v>626</v>
      </c>
      <c r="D306" s="5" t="s">
        <v>1017</v>
      </c>
      <c r="E306" s="5" t="s">
        <v>1160</v>
      </c>
      <c r="G306" s="19">
        <v>1</v>
      </c>
      <c r="H306" s="33" t="s">
        <v>1177</v>
      </c>
    </row>
    <row r="307" spans="1:8" ht="12.75">
      <c r="A307" s="5" t="s">
        <v>254</v>
      </c>
      <c r="B307" s="5"/>
      <c r="C307" s="5" t="s">
        <v>627</v>
      </c>
      <c r="D307" s="5" t="s">
        <v>1018</v>
      </c>
      <c r="E307" s="5" t="s">
        <v>1160</v>
      </c>
      <c r="G307" s="19">
        <v>1</v>
      </c>
      <c r="H307" s="33" t="s">
        <v>1177</v>
      </c>
    </row>
    <row r="308" spans="1:8" ht="12.75">
      <c r="A308" s="5" t="s">
        <v>255</v>
      </c>
      <c r="B308" s="5"/>
      <c r="C308" s="5" t="s">
        <v>628</v>
      </c>
      <c r="D308" s="5" t="s">
        <v>1019</v>
      </c>
      <c r="E308" s="5" t="s">
        <v>1155</v>
      </c>
      <c r="G308" s="19">
        <v>4</v>
      </c>
      <c r="H308" s="33" t="s">
        <v>1177</v>
      </c>
    </row>
    <row r="309" spans="1:8" ht="12.75">
      <c r="A309" s="5" t="s">
        <v>256</v>
      </c>
      <c r="B309" s="5"/>
      <c r="C309" s="5" t="s">
        <v>629</v>
      </c>
      <c r="D309" s="5" t="s">
        <v>1020</v>
      </c>
      <c r="E309" s="5" t="s">
        <v>1151</v>
      </c>
      <c r="G309" s="19">
        <v>8</v>
      </c>
      <c r="H309" s="33" t="s">
        <v>1177</v>
      </c>
    </row>
    <row r="310" spans="1:8" ht="12.75">
      <c r="A310" s="5" t="s">
        <v>257</v>
      </c>
      <c r="B310" s="5"/>
      <c r="C310" s="5" t="s">
        <v>630</v>
      </c>
      <c r="D310" s="5" t="s">
        <v>1021</v>
      </c>
      <c r="E310" s="5" t="s">
        <v>1160</v>
      </c>
      <c r="G310" s="19">
        <v>1</v>
      </c>
      <c r="H310" s="33" t="s">
        <v>1177</v>
      </c>
    </row>
    <row r="311" spans="1:8" ht="12.75">
      <c r="A311" s="5" t="s">
        <v>258</v>
      </c>
      <c r="B311" s="5"/>
      <c r="C311" s="5" t="s">
        <v>632</v>
      </c>
      <c r="D311" s="5" t="s">
        <v>1023</v>
      </c>
      <c r="E311" s="5" t="s">
        <v>1153</v>
      </c>
      <c r="G311" s="19">
        <v>1</v>
      </c>
      <c r="H311" s="33" t="s">
        <v>1177</v>
      </c>
    </row>
    <row r="312" spans="1:8" ht="12.75">
      <c r="A312" s="5" t="s">
        <v>259</v>
      </c>
      <c r="B312" s="5"/>
      <c r="C312" s="5" t="s">
        <v>633</v>
      </c>
      <c r="D312" s="5" t="s">
        <v>1024</v>
      </c>
      <c r="E312" s="5" t="s">
        <v>1154</v>
      </c>
      <c r="G312" s="19">
        <v>3</v>
      </c>
      <c r="H312" s="33" t="s">
        <v>1177</v>
      </c>
    </row>
    <row r="313" spans="1:8" ht="12.75">
      <c r="A313" s="5" t="s">
        <v>260</v>
      </c>
      <c r="B313" s="5"/>
      <c r="C313" s="5" t="s">
        <v>556</v>
      </c>
      <c r="D313" s="5" t="s">
        <v>1025</v>
      </c>
      <c r="E313" s="5" t="s">
        <v>1153</v>
      </c>
      <c r="G313" s="19">
        <v>1</v>
      </c>
      <c r="H313" s="33" t="s">
        <v>1177</v>
      </c>
    </row>
    <row r="314" spans="1:8" ht="12.75">
      <c r="A314" s="5" t="s">
        <v>261</v>
      </c>
      <c r="B314" s="5"/>
      <c r="C314" s="5" t="s">
        <v>576</v>
      </c>
      <c r="D314" s="5" t="s">
        <v>971</v>
      </c>
      <c r="E314" s="5" t="s">
        <v>1154</v>
      </c>
      <c r="G314" s="19">
        <v>2</v>
      </c>
      <c r="H314" s="33" t="s">
        <v>1177</v>
      </c>
    </row>
    <row r="315" spans="1:8" ht="12.75">
      <c r="A315" s="5" t="s">
        <v>262</v>
      </c>
      <c r="B315" s="5"/>
      <c r="C315" s="5" t="s">
        <v>577</v>
      </c>
      <c r="D315" s="5" t="s">
        <v>972</v>
      </c>
      <c r="E315" s="5" t="s">
        <v>1154</v>
      </c>
      <c r="G315" s="19">
        <v>2</v>
      </c>
      <c r="H315" s="33" t="s">
        <v>1177</v>
      </c>
    </row>
    <row r="316" spans="1:8" ht="12.75">
      <c r="A316" s="5" t="s">
        <v>263</v>
      </c>
      <c r="B316" s="5"/>
      <c r="C316" s="5" t="s">
        <v>578</v>
      </c>
      <c r="D316" s="5" t="s">
        <v>973</v>
      </c>
      <c r="E316" s="5" t="s">
        <v>1154</v>
      </c>
      <c r="G316" s="19">
        <v>5</v>
      </c>
      <c r="H316" s="33" t="s">
        <v>1177</v>
      </c>
    </row>
    <row r="317" spans="1:8" ht="12.75">
      <c r="A317" s="5" t="s">
        <v>264</v>
      </c>
      <c r="B317" s="5"/>
      <c r="C317" s="5" t="s">
        <v>579</v>
      </c>
      <c r="D317" s="5" t="s">
        <v>973</v>
      </c>
      <c r="E317" s="5" t="s">
        <v>1154</v>
      </c>
      <c r="G317" s="19">
        <v>5</v>
      </c>
      <c r="H317" s="33" t="s">
        <v>1177</v>
      </c>
    </row>
    <row r="318" spans="1:8" ht="12.75">
      <c r="A318" s="5" t="s">
        <v>265</v>
      </c>
      <c r="B318" s="5"/>
      <c r="C318" s="5" t="s">
        <v>598</v>
      </c>
      <c r="D318" s="5" t="s">
        <v>992</v>
      </c>
      <c r="E318" s="5" t="s">
        <v>1153</v>
      </c>
      <c r="G318" s="19">
        <v>1</v>
      </c>
      <c r="H318" s="33" t="s">
        <v>1177</v>
      </c>
    </row>
    <row r="319" spans="1:8" ht="12.75">
      <c r="A319" s="5" t="s">
        <v>266</v>
      </c>
      <c r="B319" s="5"/>
      <c r="C319" s="5" t="s">
        <v>599</v>
      </c>
      <c r="D319" s="5" t="s">
        <v>1026</v>
      </c>
      <c r="E319" s="5" t="s">
        <v>1153</v>
      </c>
      <c r="G319" s="19">
        <v>1</v>
      </c>
      <c r="H319" s="33" t="s">
        <v>1177</v>
      </c>
    </row>
    <row r="320" spans="1:8" ht="12.75">
      <c r="A320" s="5" t="s">
        <v>267</v>
      </c>
      <c r="B320" s="5"/>
      <c r="C320" s="5" t="s">
        <v>634</v>
      </c>
      <c r="D320" s="5" t="s">
        <v>1027</v>
      </c>
      <c r="E320" s="5" t="s">
        <v>1154</v>
      </c>
      <c r="G320" s="19">
        <v>96</v>
      </c>
      <c r="H320" s="33" t="s">
        <v>1177</v>
      </c>
    </row>
    <row r="321" spans="1:8" ht="12.75">
      <c r="A321" s="5" t="s">
        <v>268</v>
      </c>
      <c r="B321" s="5"/>
      <c r="C321" s="5" t="s">
        <v>635</v>
      </c>
      <c r="D321" s="5" t="s">
        <v>1027</v>
      </c>
      <c r="E321" s="5" t="s">
        <v>1154</v>
      </c>
      <c r="G321" s="19">
        <v>96</v>
      </c>
      <c r="H321" s="33" t="s">
        <v>1177</v>
      </c>
    </row>
    <row r="322" spans="1:8" ht="12.75">
      <c r="A322" s="5" t="s">
        <v>269</v>
      </c>
      <c r="B322" s="5"/>
      <c r="C322" s="5" t="s">
        <v>636</v>
      </c>
      <c r="D322" s="5" t="s">
        <v>1028</v>
      </c>
      <c r="E322" s="5" t="s">
        <v>1154</v>
      </c>
      <c r="G322" s="19">
        <v>30</v>
      </c>
      <c r="H322" s="33" t="s">
        <v>1177</v>
      </c>
    </row>
    <row r="323" spans="1:8" ht="12.75">
      <c r="A323" s="5" t="s">
        <v>270</v>
      </c>
      <c r="B323" s="5"/>
      <c r="C323" s="5" t="s">
        <v>637</v>
      </c>
      <c r="D323" s="5" t="s">
        <v>1029</v>
      </c>
      <c r="E323" s="5" t="s">
        <v>1154</v>
      </c>
      <c r="G323" s="19">
        <v>30</v>
      </c>
      <c r="H323" s="33" t="s">
        <v>1177</v>
      </c>
    </row>
    <row r="324" spans="1:8" ht="12.75">
      <c r="A324" s="5" t="s">
        <v>271</v>
      </c>
      <c r="B324" s="5"/>
      <c r="C324" s="5" t="s">
        <v>638</v>
      </c>
      <c r="D324" s="5" t="s">
        <v>1030</v>
      </c>
      <c r="E324" s="5" t="s">
        <v>1157</v>
      </c>
      <c r="G324" s="19">
        <v>4</v>
      </c>
      <c r="H324" s="33" t="s">
        <v>1177</v>
      </c>
    </row>
    <row r="325" spans="1:8" ht="12.75">
      <c r="A325" s="5" t="s">
        <v>272</v>
      </c>
      <c r="B325" s="5"/>
      <c r="C325" s="5" t="s">
        <v>639</v>
      </c>
      <c r="D325" s="5" t="s">
        <v>1031</v>
      </c>
      <c r="E325" s="5" t="s">
        <v>1157</v>
      </c>
      <c r="G325" s="19">
        <v>4</v>
      </c>
      <c r="H325" s="33" t="s">
        <v>1177</v>
      </c>
    </row>
    <row r="326" spans="1:8" ht="12.75">
      <c r="A326" s="5" t="s">
        <v>273</v>
      </c>
      <c r="B326" s="5"/>
      <c r="C326" s="5" t="s">
        <v>640</v>
      </c>
      <c r="D326" s="5" t="s">
        <v>1032</v>
      </c>
      <c r="E326" s="5" t="s">
        <v>1157</v>
      </c>
      <c r="G326" s="19">
        <v>40</v>
      </c>
      <c r="H326" s="33" t="s">
        <v>1177</v>
      </c>
    </row>
    <row r="327" spans="1:8" ht="12.75">
      <c r="A327" s="5" t="s">
        <v>274</v>
      </c>
      <c r="B327" s="5"/>
      <c r="C327" s="5" t="s">
        <v>641</v>
      </c>
      <c r="D327" s="5" t="s">
        <v>1032</v>
      </c>
      <c r="E327" s="5" t="s">
        <v>1157</v>
      </c>
      <c r="G327" s="19">
        <v>40</v>
      </c>
      <c r="H327" s="33" t="s">
        <v>1177</v>
      </c>
    </row>
    <row r="328" spans="1:8" ht="12.75">
      <c r="A328" s="5" t="s">
        <v>275</v>
      </c>
      <c r="B328" s="5"/>
      <c r="C328" s="5" t="s">
        <v>642</v>
      </c>
      <c r="D328" s="5" t="s">
        <v>1033</v>
      </c>
      <c r="E328" s="5" t="s">
        <v>1157</v>
      </c>
      <c r="G328" s="19">
        <v>12</v>
      </c>
      <c r="H328" s="33" t="s">
        <v>1177</v>
      </c>
    </row>
    <row r="329" spans="1:8" ht="12.75">
      <c r="A329" s="5" t="s">
        <v>276</v>
      </c>
      <c r="B329" s="5"/>
      <c r="C329" s="5" t="s">
        <v>643</v>
      </c>
      <c r="D329" s="5" t="s">
        <v>1033</v>
      </c>
      <c r="E329" s="5" t="s">
        <v>1157</v>
      </c>
      <c r="G329" s="19">
        <v>12</v>
      </c>
      <c r="H329" s="33" t="s">
        <v>1177</v>
      </c>
    </row>
    <row r="330" spans="1:8" ht="12.75">
      <c r="A330" s="5" t="s">
        <v>277</v>
      </c>
      <c r="B330" s="5"/>
      <c r="C330" s="5" t="s">
        <v>644</v>
      </c>
      <c r="D330" s="5" t="s">
        <v>1034</v>
      </c>
      <c r="E330" s="5" t="s">
        <v>1157</v>
      </c>
      <c r="G330" s="19">
        <v>4</v>
      </c>
      <c r="H330" s="33" t="s">
        <v>1177</v>
      </c>
    </row>
    <row r="331" spans="1:8" ht="12.75">
      <c r="A331" s="5" t="s">
        <v>278</v>
      </c>
      <c r="B331" s="5"/>
      <c r="C331" s="5" t="s">
        <v>645</v>
      </c>
      <c r="D331" s="5" t="s">
        <v>1035</v>
      </c>
      <c r="E331" s="5" t="s">
        <v>1157</v>
      </c>
      <c r="G331" s="19">
        <v>4</v>
      </c>
      <c r="H331" s="33" t="s">
        <v>1177</v>
      </c>
    </row>
    <row r="332" spans="1:8" ht="12.75">
      <c r="A332" s="5" t="s">
        <v>279</v>
      </c>
      <c r="B332" s="5"/>
      <c r="C332" s="5" t="s">
        <v>646</v>
      </c>
      <c r="D332" s="5" t="s">
        <v>1036</v>
      </c>
      <c r="E332" s="5" t="s">
        <v>1157</v>
      </c>
      <c r="G332" s="19">
        <v>18</v>
      </c>
      <c r="H332" s="33" t="s">
        <v>1177</v>
      </c>
    </row>
    <row r="333" spans="1:8" ht="12.75">
      <c r="A333" s="5" t="s">
        <v>280</v>
      </c>
      <c r="B333" s="5"/>
      <c r="C333" s="5" t="s">
        <v>647</v>
      </c>
      <c r="D333" s="5" t="s">
        <v>1036</v>
      </c>
      <c r="E333" s="5" t="s">
        <v>1157</v>
      </c>
      <c r="G333" s="19">
        <v>18</v>
      </c>
      <c r="H333" s="33" t="s">
        <v>1177</v>
      </c>
    </row>
    <row r="334" spans="1:8" ht="12.75">
      <c r="A334" s="5" t="s">
        <v>281</v>
      </c>
      <c r="B334" s="5"/>
      <c r="C334" s="5" t="s">
        <v>619</v>
      </c>
      <c r="D334" s="5" t="s">
        <v>1037</v>
      </c>
      <c r="E334" s="5" t="s">
        <v>1157</v>
      </c>
      <c r="G334" s="19">
        <v>4</v>
      </c>
      <c r="H334" s="33" t="s">
        <v>1177</v>
      </c>
    </row>
    <row r="335" spans="1:8" ht="12.75">
      <c r="A335" s="5" t="s">
        <v>282</v>
      </c>
      <c r="B335" s="5"/>
      <c r="C335" s="5" t="s">
        <v>620</v>
      </c>
      <c r="D335" s="5" t="s">
        <v>1037</v>
      </c>
      <c r="E335" s="5" t="s">
        <v>1157</v>
      </c>
      <c r="G335" s="19">
        <v>4</v>
      </c>
      <c r="H335" s="33" t="s">
        <v>1177</v>
      </c>
    </row>
    <row r="336" spans="1:8" ht="12.75">
      <c r="A336" s="5" t="s">
        <v>283</v>
      </c>
      <c r="B336" s="5"/>
      <c r="C336" s="5" t="s">
        <v>648</v>
      </c>
      <c r="D336" s="5" t="s">
        <v>1038</v>
      </c>
      <c r="E336" s="5" t="s">
        <v>1157</v>
      </c>
      <c r="G336" s="19">
        <v>10</v>
      </c>
      <c r="H336" s="33" t="s">
        <v>1177</v>
      </c>
    </row>
    <row r="337" spans="1:8" ht="12.75">
      <c r="A337" s="5" t="s">
        <v>284</v>
      </c>
      <c r="B337" s="5"/>
      <c r="C337" s="5" t="s">
        <v>647</v>
      </c>
      <c r="D337" s="5" t="s">
        <v>1039</v>
      </c>
      <c r="E337" s="5" t="s">
        <v>1157</v>
      </c>
      <c r="G337" s="19">
        <v>10</v>
      </c>
      <c r="H337" s="33" t="s">
        <v>1177</v>
      </c>
    </row>
    <row r="338" spans="1:8" ht="12.75">
      <c r="A338" s="5" t="s">
        <v>285</v>
      </c>
      <c r="B338" s="5"/>
      <c r="C338" s="5" t="s">
        <v>619</v>
      </c>
      <c r="D338" s="5" t="s">
        <v>1012</v>
      </c>
      <c r="E338" s="5" t="s">
        <v>1157</v>
      </c>
      <c r="G338" s="19">
        <v>8</v>
      </c>
      <c r="H338" s="33" t="s">
        <v>1177</v>
      </c>
    </row>
    <row r="339" spans="1:8" ht="12.75">
      <c r="A339" s="5" t="s">
        <v>286</v>
      </c>
      <c r="B339" s="5"/>
      <c r="C339" s="5" t="s">
        <v>620</v>
      </c>
      <c r="D339" s="5" t="s">
        <v>1012</v>
      </c>
      <c r="E339" s="5" t="s">
        <v>1157</v>
      </c>
      <c r="G339" s="19">
        <v>8</v>
      </c>
      <c r="H339" s="33" t="s">
        <v>1177</v>
      </c>
    </row>
    <row r="340" spans="1:8" ht="12.75">
      <c r="A340" s="5" t="s">
        <v>287</v>
      </c>
      <c r="B340" s="5"/>
      <c r="C340" s="5" t="s">
        <v>649</v>
      </c>
      <c r="D340" s="5" t="s">
        <v>1040</v>
      </c>
      <c r="E340" s="5" t="s">
        <v>1157</v>
      </c>
      <c r="G340" s="19">
        <v>12</v>
      </c>
      <c r="H340" s="33" t="s">
        <v>1177</v>
      </c>
    </row>
    <row r="341" spans="1:8" ht="12.75">
      <c r="A341" s="5" t="s">
        <v>288</v>
      </c>
      <c r="B341" s="5"/>
      <c r="C341" s="5" t="s">
        <v>650</v>
      </c>
      <c r="D341" s="5" t="s">
        <v>1041</v>
      </c>
      <c r="E341" s="5" t="s">
        <v>1157</v>
      </c>
      <c r="G341" s="19">
        <v>12</v>
      </c>
      <c r="H341" s="33" t="s">
        <v>1177</v>
      </c>
    </row>
    <row r="342" spans="1:8" ht="12.75">
      <c r="A342" s="5" t="s">
        <v>289</v>
      </c>
      <c r="B342" s="5"/>
      <c r="C342" s="5" t="s">
        <v>621</v>
      </c>
      <c r="D342" s="5" t="s">
        <v>1013</v>
      </c>
      <c r="E342" s="5" t="s">
        <v>1157</v>
      </c>
      <c r="G342" s="19">
        <v>1</v>
      </c>
      <c r="H342" s="33" t="s">
        <v>1177</v>
      </c>
    </row>
    <row r="343" spans="1:8" ht="12.75">
      <c r="A343" s="5" t="s">
        <v>290</v>
      </c>
      <c r="B343" s="5"/>
      <c r="C343" s="5" t="s">
        <v>651</v>
      </c>
      <c r="D343" s="5" t="s">
        <v>1013</v>
      </c>
      <c r="E343" s="5" t="s">
        <v>1157</v>
      </c>
      <c r="G343" s="19">
        <v>1</v>
      </c>
      <c r="H343" s="33" t="s">
        <v>1177</v>
      </c>
    </row>
    <row r="344" spans="1:8" ht="12.75">
      <c r="A344" s="5" t="s">
        <v>291</v>
      </c>
      <c r="B344" s="5"/>
      <c r="C344" s="5" t="s">
        <v>623</v>
      </c>
      <c r="D344" s="5" t="s">
        <v>1042</v>
      </c>
      <c r="E344" s="5" t="s">
        <v>1153</v>
      </c>
      <c r="G344" s="19">
        <v>1</v>
      </c>
      <c r="H344" s="33" t="s">
        <v>1177</v>
      </c>
    </row>
    <row r="345" spans="1:8" ht="12.75">
      <c r="A345" s="5" t="s">
        <v>292</v>
      </c>
      <c r="B345" s="5"/>
      <c r="C345" s="5" t="s">
        <v>652</v>
      </c>
      <c r="D345" s="5" t="s">
        <v>1042</v>
      </c>
      <c r="E345" s="5" t="s">
        <v>1157</v>
      </c>
      <c r="G345" s="19">
        <v>1</v>
      </c>
      <c r="H345" s="33" t="s">
        <v>1177</v>
      </c>
    </row>
    <row r="346" spans="1:8" ht="12.75">
      <c r="A346" s="5" t="s">
        <v>293</v>
      </c>
      <c r="B346" s="5"/>
      <c r="C346" s="5" t="s">
        <v>624</v>
      </c>
      <c r="D346" s="5" t="s">
        <v>1015</v>
      </c>
      <c r="E346" s="5" t="s">
        <v>1153</v>
      </c>
      <c r="G346" s="19">
        <v>1</v>
      </c>
      <c r="H346" s="33" t="s">
        <v>1177</v>
      </c>
    </row>
    <row r="347" spans="1:8" ht="12.75">
      <c r="A347" s="5" t="s">
        <v>294</v>
      </c>
      <c r="B347" s="5"/>
      <c r="C347" s="5" t="s">
        <v>624</v>
      </c>
      <c r="D347" s="5" t="s">
        <v>1043</v>
      </c>
      <c r="E347" s="5" t="s">
        <v>1155</v>
      </c>
      <c r="G347" s="19">
        <v>1</v>
      </c>
      <c r="H347" s="33" t="s">
        <v>1177</v>
      </c>
    </row>
    <row r="348" spans="1:8" ht="12.75">
      <c r="A348" s="5" t="s">
        <v>295</v>
      </c>
      <c r="B348" s="5"/>
      <c r="C348" s="5" t="s">
        <v>626</v>
      </c>
      <c r="D348" s="5" t="s">
        <v>1044</v>
      </c>
      <c r="E348" s="5" t="s">
        <v>1153</v>
      </c>
      <c r="G348" s="19">
        <v>4</v>
      </c>
      <c r="H348" s="33" t="s">
        <v>1177</v>
      </c>
    </row>
    <row r="349" spans="1:8" ht="12.75">
      <c r="A349" s="5" t="s">
        <v>296</v>
      </c>
      <c r="B349" s="5"/>
      <c r="C349" s="5" t="s">
        <v>653</v>
      </c>
      <c r="D349" s="5" t="s">
        <v>1045</v>
      </c>
      <c r="E349" s="5" t="s">
        <v>1155</v>
      </c>
      <c r="G349" s="19">
        <v>11</v>
      </c>
      <c r="H349" s="33" t="s">
        <v>1177</v>
      </c>
    </row>
    <row r="350" spans="1:8" ht="12.75">
      <c r="A350" s="5" t="s">
        <v>297</v>
      </c>
      <c r="B350" s="5"/>
      <c r="C350" s="5" t="s">
        <v>654</v>
      </c>
      <c r="D350" s="5" t="s">
        <v>1046</v>
      </c>
      <c r="E350" s="5" t="s">
        <v>1152</v>
      </c>
      <c r="G350" s="19">
        <v>0.75</v>
      </c>
      <c r="H350" s="33" t="s">
        <v>1177</v>
      </c>
    </row>
    <row r="351" spans="1:8" ht="12.75">
      <c r="A351" s="5" t="s">
        <v>298</v>
      </c>
      <c r="B351" s="5"/>
      <c r="C351" s="5" t="s">
        <v>628</v>
      </c>
      <c r="D351" s="5" t="s">
        <v>1047</v>
      </c>
      <c r="E351" s="5" t="s">
        <v>1155</v>
      </c>
      <c r="G351" s="19">
        <v>4</v>
      </c>
      <c r="H351" s="33" t="s">
        <v>1177</v>
      </c>
    </row>
    <row r="352" spans="1:8" ht="12.75">
      <c r="A352" s="5" t="s">
        <v>299</v>
      </c>
      <c r="B352" s="5"/>
      <c r="C352" s="5" t="s">
        <v>655</v>
      </c>
      <c r="D352" s="5" t="s">
        <v>1048</v>
      </c>
      <c r="E352" s="5" t="s">
        <v>1157</v>
      </c>
      <c r="G352" s="19">
        <v>4</v>
      </c>
      <c r="H352" s="33" t="s">
        <v>1177</v>
      </c>
    </row>
    <row r="353" spans="1:8" ht="12.75">
      <c r="A353" s="5" t="s">
        <v>300</v>
      </c>
      <c r="B353" s="5"/>
      <c r="C353" s="5" t="s">
        <v>657</v>
      </c>
      <c r="D353" s="5" t="s">
        <v>1050</v>
      </c>
      <c r="E353" s="5" t="s">
        <v>1151</v>
      </c>
      <c r="G353" s="19">
        <v>27.9051</v>
      </c>
      <c r="H353" s="33" t="s">
        <v>1177</v>
      </c>
    </row>
    <row r="354" spans="4:7" ht="12.75">
      <c r="D354" s="16" t="s">
        <v>1051</v>
      </c>
      <c r="F354" s="5" t="s">
        <v>1300</v>
      </c>
      <c r="G354" s="19">
        <v>27.9051</v>
      </c>
    </row>
    <row r="355" spans="1:8" ht="12.75">
      <c r="A355" s="5" t="s">
        <v>301</v>
      </c>
      <c r="B355" s="5"/>
      <c r="C355" s="5" t="s">
        <v>658</v>
      </c>
      <c r="D355" s="5" t="s">
        <v>1052</v>
      </c>
      <c r="E355" s="5" t="s">
        <v>1150</v>
      </c>
      <c r="F355" s="5" t="s">
        <v>1301</v>
      </c>
      <c r="G355" s="19">
        <v>0.6697</v>
      </c>
      <c r="H355" s="33" t="s">
        <v>1177</v>
      </c>
    </row>
    <row r="356" spans="1:8" ht="12.75">
      <c r="A356" s="5" t="s">
        <v>302</v>
      </c>
      <c r="B356" s="5"/>
      <c r="C356" s="5" t="s">
        <v>659</v>
      </c>
      <c r="D356" s="5" t="s">
        <v>1053</v>
      </c>
      <c r="E356" s="5" t="s">
        <v>1153</v>
      </c>
      <c r="G356" s="19">
        <v>13</v>
      </c>
      <c r="H356" s="33" t="s">
        <v>1177</v>
      </c>
    </row>
    <row r="357" spans="4:7" ht="12.75">
      <c r="D357" s="16" t="s">
        <v>1054</v>
      </c>
      <c r="G357" s="19">
        <v>0</v>
      </c>
    </row>
    <row r="358" spans="1:8" ht="12.75">
      <c r="A358" s="5" t="s">
        <v>303</v>
      </c>
      <c r="B358" s="5"/>
      <c r="C358" s="5" t="s">
        <v>660</v>
      </c>
      <c r="D358" s="5" t="s">
        <v>1055</v>
      </c>
      <c r="E358" s="5" t="s">
        <v>1154</v>
      </c>
      <c r="G358" s="19">
        <v>76</v>
      </c>
      <c r="H358" s="33" t="s">
        <v>1177</v>
      </c>
    </row>
    <row r="359" spans="4:7" ht="12.75">
      <c r="D359" s="16" t="s">
        <v>1056</v>
      </c>
      <c r="F359" s="5" t="s">
        <v>1302</v>
      </c>
      <c r="G359" s="19">
        <v>76</v>
      </c>
    </row>
    <row r="360" spans="1:8" ht="12.75">
      <c r="A360" s="5" t="s">
        <v>304</v>
      </c>
      <c r="B360" s="5"/>
      <c r="C360" s="5" t="s">
        <v>661</v>
      </c>
      <c r="D360" s="5" t="s">
        <v>1057</v>
      </c>
      <c r="E360" s="5" t="s">
        <v>1154</v>
      </c>
      <c r="F360" s="5" t="s">
        <v>1303</v>
      </c>
      <c r="G360" s="19">
        <v>324.3</v>
      </c>
      <c r="H360" s="33" t="s">
        <v>1177</v>
      </c>
    </row>
    <row r="361" spans="1:8" ht="12.75">
      <c r="A361" s="7" t="s">
        <v>305</v>
      </c>
      <c r="B361" s="7"/>
      <c r="C361" s="7" t="s">
        <v>662</v>
      </c>
      <c r="D361" s="7" t="s">
        <v>1058</v>
      </c>
      <c r="E361" s="7" t="s">
        <v>1150</v>
      </c>
      <c r="G361" s="20">
        <v>0.58733</v>
      </c>
      <c r="H361" s="34" t="s">
        <v>1177</v>
      </c>
    </row>
    <row r="362" spans="6:7" ht="12.75">
      <c r="F362" s="7" t="s">
        <v>1304</v>
      </c>
      <c r="G362" s="20">
        <v>0.51072</v>
      </c>
    </row>
    <row r="363" spans="1:7" ht="12.75">
      <c r="A363" s="7"/>
      <c r="B363" s="7"/>
      <c r="C363" s="7"/>
      <c r="D363" s="7"/>
      <c r="E363" s="7"/>
      <c r="F363" s="7" t="s">
        <v>1305</v>
      </c>
      <c r="G363" s="20">
        <v>0.07661</v>
      </c>
    </row>
    <row r="364" spans="1:8" ht="12.75">
      <c r="A364" s="7" t="s">
        <v>306</v>
      </c>
      <c r="B364" s="7"/>
      <c r="C364" s="7" t="s">
        <v>662</v>
      </c>
      <c r="D364" s="7" t="s">
        <v>1059</v>
      </c>
      <c r="E364" s="7" t="s">
        <v>1150</v>
      </c>
      <c r="F364" s="7" t="s">
        <v>1306</v>
      </c>
      <c r="G364" s="20">
        <v>0.0504</v>
      </c>
      <c r="H364" s="34" t="s">
        <v>1177</v>
      </c>
    </row>
    <row r="365" spans="1:8" ht="12.75">
      <c r="A365" s="7" t="s">
        <v>307</v>
      </c>
      <c r="B365" s="7"/>
      <c r="C365" s="7" t="s">
        <v>663</v>
      </c>
      <c r="D365" s="7" t="s">
        <v>1060</v>
      </c>
      <c r="E365" s="7" t="s">
        <v>1150</v>
      </c>
      <c r="G365" s="20">
        <v>2.15611</v>
      </c>
      <c r="H365" s="34" t="s">
        <v>1177</v>
      </c>
    </row>
    <row r="366" spans="6:7" ht="12.75">
      <c r="F366" s="7" t="s">
        <v>1307</v>
      </c>
      <c r="G366" s="20">
        <v>1.87488</v>
      </c>
    </row>
    <row r="367" spans="1:7" ht="12.75">
      <c r="A367" s="7"/>
      <c r="B367" s="7"/>
      <c r="C367" s="7"/>
      <c r="D367" s="7"/>
      <c r="E367" s="7"/>
      <c r="F367" s="7" t="s">
        <v>1308</v>
      </c>
      <c r="G367" s="20">
        <v>0.28123</v>
      </c>
    </row>
    <row r="368" spans="1:8" ht="12.75">
      <c r="A368" s="7" t="s">
        <v>308</v>
      </c>
      <c r="B368" s="7"/>
      <c r="C368" s="7" t="s">
        <v>664</v>
      </c>
      <c r="D368" s="7" t="s">
        <v>1061</v>
      </c>
      <c r="E368" s="7" t="s">
        <v>1150</v>
      </c>
      <c r="G368" s="20">
        <v>4.52576</v>
      </c>
      <c r="H368" s="34" t="s">
        <v>1177</v>
      </c>
    </row>
    <row r="369" spans="6:7" ht="12.75">
      <c r="F369" s="7" t="s">
        <v>1309</v>
      </c>
      <c r="G369" s="20">
        <v>3.93544</v>
      </c>
    </row>
    <row r="370" spans="1:7" ht="12.75">
      <c r="A370" s="7"/>
      <c r="B370" s="7"/>
      <c r="C370" s="7"/>
      <c r="D370" s="7"/>
      <c r="E370" s="7"/>
      <c r="F370" s="7" t="s">
        <v>1310</v>
      </c>
      <c r="G370" s="20">
        <v>0.59032</v>
      </c>
    </row>
    <row r="371" spans="1:8" ht="12.75">
      <c r="A371" s="7" t="s">
        <v>309</v>
      </c>
      <c r="B371" s="7"/>
      <c r="C371" s="7" t="s">
        <v>665</v>
      </c>
      <c r="D371" s="7" t="s">
        <v>1062</v>
      </c>
      <c r="E371" s="7" t="s">
        <v>1150</v>
      </c>
      <c r="G371" s="20">
        <v>0.99627</v>
      </c>
      <c r="H371" s="34" t="s">
        <v>1177</v>
      </c>
    </row>
    <row r="372" spans="6:7" ht="12.75">
      <c r="F372" s="7" t="s">
        <v>1311</v>
      </c>
      <c r="G372" s="20">
        <v>0.86632</v>
      </c>
    </row>
    <row r="373" spans="1:7" ht="12.75">
      <c r="A373" s="7"/>
      <c r="B373" s="7"/>
      <c r="C373" s="7"/>
      <c r="D373" s="7"/>
      <c r="E373" s="7"/>
      <c r="F373" s="7" t="s">
        <v>1312</v>
      </c>
      <c r="G373" s="20">
        <v>0.12995</v>
      </c>
    </row>
    <row r="374" spans="1:8" ht="12.75">
      <c r="A374" s="5" t="s">
        <v>310</v>
      </c>
      <c r="B374" s="5"/>
      <c r="C374" s="5" t="s">
        <v>666</v>
      </c>
      <c r="D374" s="5" t="s">
        <v>1063</v>
      </c>
      <c r="E374" s="5" t="s">
        <v>1154</v>
      </c>
      <c r="F374" s="5" t="s">
        <v>1313</v>
      </c>
      <c r="G374" s="19">
        <v>35</v>
      </c>
      <c r="H374" s="33" t="s">
        <v>1177</v>
      </c>
    </row>
    <row r="375" spans="1:8" ht="12.75">
      <c r="A375" s="7" t="s">
        <v>311</v>
      </c>
      <c r="B375" s="7"/>
      <c r="C375" s="7" t="s">
        <v>667</v>
      </c>
      <c r="D375" s="7" t="s">
        <v>1064</v>
      </c>
      <c r="E375" s="7" t="s">
        <v>1150</v>
      </c>
      <c r="G375" s="20">
        <v>1.127</v>
      </c>
      <c r="H375" s="34" t="s">
        <v>1177</v>
      </c>
    </row>
    <row r="376" spans="6:7" ht="12.75">
      <c r="F376" s="7" t="s">
        <v>1314</v>
      </c>
      <c r="G376" s="20">
        <v>0.98</v>
      </c>
    </row>
    <row r="377" spans="1:7" ht="12.75">
      <c r="A377" s="7"/>
      <c r="B377" s="7"/>
      <c r="C377" s="7"/>
      <c r="D377" s="7"/>
      <c r="E377" s="7"/>
      <c r="F377" s="7" t="s">
        <v>1315</v>
      </c>
      <c r="G377" s="20">
        <v>0.147</v>
      </c>
    </row>
    <row r="378" spans="1:8" ht="12.75">
      <c r="A378" s="5" t="s">
        <v>312</v>
      </c>
      <c r="B378" s="5"/>
      <c r="C378" s="5" t="s">
        <v>668</v>
      </c>
      <c r="D378" s="5" t="s">
        <v>1065</v>
      </c>
      <c r="E378" s="5" t="s">
        <v>1154</v>
      </c>
      <c r="F378" s="5" t="s">
        <v>1316</v>
      </c>
      <c r="G378" s="19">
        <v>68.4</v>
      </c>
      <c r="H378" s="33" t="s">
        <v>1177</v>
      </c>
    </row>
    <row r="379" spans="1:8" ht="12.75">
      <c r="A379" s="7" t="s">
        <v>313</v>
      </c>
      <c r="B379" s="7"/>
      <c r="C379" s="7" t="s">
        <v>669</v>
      </c>
      <c r="D379" s="7" t="s">
        <v>1066</v>
      </c>
      <c r="E379" s="7" t="s">
        <v>1150</v>
      </c>
      <c r="G379" s="20">
        <v>0.77039</v>
      </c>
      <c r="H379" s="34" t="s">
        <v>1177</v>
      </c>
    </row>
    <row r="380" spans="6:7" ht="12.75">
      <c r="F380" s="7" t="s">
        <v>1317</v>
      </c>
      <c r="G380" s="20">
        <v>0.6699</v>
      </c>
    </row>
    <row r="381" spans="1:7" ht="12.75">
      <c r="A381" s="7"/>
      <c r="B381" s="7"/>
      <c r="C381" s="7"/>
      <c r="D381" s="7"/>
      <c r="E381" s="7"/>
      <c r="F381" s="7" t="s">
        <v>1318</v>
      </c>
      <c r="G381" s="20">
        <v>0.10049</v>
      </c>
    </row>
    <row r="382" spans="1:8" ht="12.75">
      <c r="A382" s="7" t="s">
        <v>314</v>
      </c>
      <c r="B382" s="7"/>
      <c r="C382" s="7" t="s">
        <v>670</v>
      </c>
      <c r="D382" s="7" t="s">
        <v>1067</v>
      </c>
      <c r="E382" s="7" t="s">
        <v>1150</v>
      </c>
      <c r="G382" s="20">
        <v>0.08678</v>
      </c>
      <c r="H382" s="34" t="s">
        <v>1177</v>
      </c>
    </row>
    <row r="383" spans="6:7" ht="12.75">
      <c r="F383" s="7" t="s">
        <v>1319</v>
      </c>
      <c r="G383" s="20">
        <v>0.07546</v>
      </c>
    </row>
    <row r="384" spans="1:7" ht="12.75">
      <c r="A384" s="7"/>
      <c r="B384" s="7"/>
      <c r="C384" s="7"/>
      <c r="D384" s="7"/>
      <c r="E384" s="7"/>
      <c r="F384" s="7" t="s">
        <v>1320</v>
      </c>
      <c r="G384" s="20">
        <v>0.01132</v>
      </c>
    </row>
    <row r="385" spans="1:8" ht="12.75">
      <c r="A385" s="5" t="s">
        <v>315</v>
      </c>
      <c r="B385" s="5"/>
      <c r="C385" s="5" t="s">
        <v>671</v>
      </c>
      <c r="D385" s="5" t="s">
        <v>1068</v>
      </c>
      <c r="E385" s="5" t="s">
        <v>1151</v>
      </c>
      <c r="G385" s="19">
        <v>129.5508</v>
      </c>
      <c r="H385" s="33" t="s">
        <v>1177</v>
      </c>
    </row>
    <row r="386" spans="4:7" ht="12.75">
      <c r="D386" s="16" t="s">
        <v>1069</v>
      </c>
      <c r="F386" s="5" t="s">
        <v>1293</v>
      </c>
      <c r="G386" s="19">
        <v>129.5508</v>
      </c>
    </row>
    <row r="387" spans="1:8" ht="12.75">
      <c r="A387" s="7" t="s">
        <v>316</v>
      </c>
      <c r="B387" s="7"/>
      <c r="C387" s="7" t="s">
        <v>672</v>
      </c>
      <c r="D387" s="7" t="s">
        <v>1070</v>
      </c>
      <c r="E387" s="7" t="s">
        <v>1151</v>
      </c>
      <c r="G387" s="20">
        <v>148.98342</v>
      </c>
      <c r="H387" s="34" t="s">
        <v>1177</v>
      </c>
    </row>
    <row r="388" spans="6:7" ht="12.75">
      <c r="F388" s="7" t="s">
        <v>1291</v>
      </c>
      <c r="G388" s="20">
        <v>129.5508</v>
      </c>
    </row>
    <row r="389" spans="1:7" ht="12.75">
      <c r="A389" s="7"/>
      <c r="B389" s="7"/>
      <c r="C389" s="7"/>
      <c r="D389" s="7"/>
      <c r="E389" s="7"/>
      <c r="F389" s="7" t="s">
        <v>1294</v>
      </c>
      <c r="G389" s="20">
        <v>19.43262</v>
      </c>
    </row>
    <row r="390" spans="1:8" ht="12.75">
      <c r="A390" s="5" t="s">
        <v>317</v>
      </c>
      <c r="B390" s="5"/>
      <c r="C390" s="5" t="s">
        <v>673</v>
      </c>
      <c r="D390" s="5" t="s">
        <v>1071</v>
      </c>
      <c r="E390" s="5" t="s">
        <v>1151</v>
      </c>
      <c r="G390" s="19">
        <v>33.44</v>
      </c>
      <c r="H390" s="33" t="s">
        <v>1177</v>
      </c>
    </row>
    <row r="391" spans="4:7" ht="12.75">
      <c r="D391" s="16" t="s">
        <v>1072</v>
      </c>
      <c r="F391" s="5" t="s">
        <v>1321</v>
      </c>
      <c r="G391" s="19">
        <v>33.44</v>
      </c>
    </row>
    <row r="392" spans="1:8" ht="12.75">
      <c r="A392" s="5" t="s">
        <v>318</v>
      </c>
      <c r="B392" s="5"/>
      <c r="C392" s="5" t="s">
        <v>674</v>
      </c>
      <c r="D392" s="5" t="s">
        <v>1073</v>
      </c>
      <c r="E392" s="5" t="s">
        <v>1150</v>
      </c>
      <c r="F392" s="5" t="s">
        <v>1322</v>
      </c>
      <c r="G392" s="19">
        <v>15.02454</v>
      </c>
      <c r="H392" s="33" t="s">
        <v>1177</v>
      </c>
    </row>
    <row r="393" spans="1:8" ht="12.75">
      <c r="A393" s="5" t="s">
        <v>319</v>
      </c>
      <c r="B393" s="5"/>
      <c r="C393" s="5" t="s">
        <v>675</v>
      </c>
      <c r="D393" s="5" t="s">
        <v>1074</v>
      </c>
      <c r="E393" s="5" t="s">
        <v>1152</v>
      </c>
      <c r="G393" s="19">
        <v>9.5308</v>
      </c>
      <c r="H393" s="33" t="s">
        <v>1177</v>
      </c>
    </row>
    <row r="394" spans="1:8" ht="12.75">
      <c r="A394" s="5" t="s">
        <v>320</v>
      </c>
      <c r="B394" s="5"/>
      <c r="C394" s="5" t="s">
        <v>677</v>
      </c>
      <c r="D394" s="5" t="s">
        <v>1076</v>
      </c>
      <c r="E394" s="5" t="s">
        <v>1154</v>
      </c>
      <c r="F394" s="5" t="s">
        <v>1323</v>
      </c>
      <c r="G394" s="19">
        <v>8.5</v>
      </c>
      <c r="H394" s="33" t="s">
        <v>1177</v>
      </c>
    </row>
    <row r="395" spans="1:8" ht="12.75">
      <c r="A395" s="5" t="s">
        <v>321</v>
      </c>
      <c r="B395" s="5"/>
      <c r="C395" s="5" t="s">
        <v>678</v>
      </c>
      <c r="D395" s="5" t="s">
        <v>1077</v>
      </c>
      <c r="E395" s="5" t="s">
        <v>1154</v>
      </c>
      <c r="G395" s="19">
        <v>67.5</v>
      </c>
      <c r="H395" s="33" t="s">
        <v>1177</v>
      </c>
    </row>
    <row r="396" spans="1:8" ht="12.75">
      <c r="A396" s="5" t="s">
        <v>322</v>
      </c>
      <c r="B396" s="5"/>
      <c r="C396" s="5" t="s">
        <v>679</v>
      </c>
      <c r="D396" s="5" t="s">
        <v>1078</v>
      </c>
      <c r="E396" s="5" t="s">
        <v>1154</v>
      </c>
      <c r="G396" s="19">
        <v>17.5</v>
      </c>
      <c r="H396" s="33" t="s">
        <v>1177</v>
      </c>
    </row>
    <row r="397" spans="1:8" ht="12.75">
      <c r="A397" s="5" t="s">
        <v>323</v>
      </c>
      <c r="B397" s="5"/>
      <c r="C397" s="5" t="s">
        <v>680</v>
      </c>
      <c r="D397" s="5" t="s">
        <v>1079</v>
      </c>
      <c r="E397" s="5" t="s">
        <v>1154</v>
      </c>
      <c r="G397" s="19">
        <v>29.7</v>
      </c>
      <c r="H397" s="33" t="s">
        <v>1177</v>
      </c>
    </row>
    <row r="398" spans="4:7" ht="12.75">
      <c r="D398" s="16" t="s">
        <v>1080</v>
      </c>
      <c r="G398" s="19">
        <v>0</v>
      </c>
    </row>
    <row r="399" spans="1:8" ht="12.75">
      <c r="A399" s="5" t="s">
        <v>324</v>
      </c>
      <c r="B399" s="5"/>
      <c r="C399" s="5" t="s">
        <v>681</v>
      </c>
      <c r="D399" s="5" t="s">
        <v>1081</v>
      </c>
      <c r="E399" s="5" t="s">
        <v>1154</v>
      </c>
      <c r="G399" s="19">
        <v>8</v>
      </c>
      <c r="H399" s="33" t="s">
        <v>1177</v>
      </c>
    </row>
    <row r="400" spans="4:7" ht="25.5">
      <c r="D400" s="16" t="s">
        <v>1082</v>
      </c>
      <c r="G400" s="19">
        <v>0</v>
      </c>
    </row>
    <row r="401" spans="1:8" ht="12.75">
      <c r="A401" s="5" t="s">
        <v>325</v>
      </c>
      <c r="B401" s="5"/>
      <c r="C401" s="5" t="s">
        <v>682</v>
      </c>
      <c r="D401" s="5" t="s">
        <v>1083</v>
      </c>
      <c r="E401" s="5" t="s">
        <v>1152</v>
      </c>
      <c r="G401" s="19">
        <v>0.3779</v>
      </c>
      <c r="H401" s="33" t="s">
        <v>1177</v>
      </c>
    </row>
    <row r="402" spans="1:8" ht="12.75">
      <c r="A402" s="5" t="s">
        <v>326</v>
      </c>
      <c r="B402" s="5"/>
      <c r="C402" s="5" t="s">
        <v>684</v>
      </c>
      <c r="D402" s="5" t="s">
        <v>1085</v>
      </c>
      <c r="E402" s="5" t="s">
        <v>1153</v>
      </c>
      <c r="G402" s="19">
        <v>1</v>
      </c>
      <c r="H402" s="33" t="s">
        <v>1177</v>
      </c>
    </row>
    <row r="403" spans="4:7" ht="12.75">
      <c r="D403" s="16" t="s">
        <v>1086</v>
      </c>
      <c r="G403" s="19">
        <v>0</v>
      </c>
    </row>
    <row r="404" spans="1:8" ht="12.75">
      <c r="A404" s="5" t="s">
        <v>327</v>
      </c>
      <c r="B404" s="5"/>
      <c r="C404" s="5" t="s">
        <v>685</v>
      </c>
      <c r="D404" s="5" t="s">
        <v>1087</v>
      </c>
      <c r="E404" s="5" t="s">
        <v>1153</v>
      </c>
      <c r="G404" s="19">
        <v>1</v>
      </c>
      <c r="H404" s="33" t="s">
        <v>1177</v>
      </c>
    </row>
    <row r="405" spans="4:7" ht="12.75">
      <c r="D405" s="16" t="s">
        <v>1086</v>
      </c>
      <c r="G405" s="19">
        <v>0</v>
      </c>
    </row>
    <row r="406" spans="1:8" ht="12.75">
      <c r="A406" s="5" t="s">
        <v>328</v>
      </c>
      <c r="B406" s="5"/>
      <c r="C406" s="5" t="s">
        <v>686</v>
      </c>
      <c r="D406" s="5" t="s">
        <v>1088</v>
      </c>
      <c r="E406" s="5" t="s">
        <v>1153</v>
      </c>
      <c r="G406" s="19">
        <v>3</v>
      </c>
      <c r="H406" s="33" t="s">
        <v>1177</v>
      </c>
    </row>
    <row r="407" spans="4:7" ht="12.75">
      <c r="D407" s="16" t="s">
        <v>1086</v>
      </c>
      <c r="G407" s="19">
        <v>0</v>
      </c>
    </row>
    <row r="408" spans="1:8" ht="12.75">
      <c r="A408" s="5" t="s">
        <v>329</v>
      </c>
      <c r="B408" s="5"/>
      <c r="C408" s="5" t="s">
        <v>687</v>
      </c>
      <c r="D408" s="5" t="s">
        <v>1089</v>
      </c>
      <c r="E408" s="5" t="s">
        <v>1153</v>
      </c>
      <c r="G408" s="19">
        <v>6</v>
      </c>
      <c r="H408" s="33" t="s">
        <v>1177</v>
      </c>
    </row>
    <row r="409" spans="4:7" ht="12.75">
      <c r="D409" s="16" t="s">
        <v>1086</v>
      </c>
      <c r="G409" s="19">
        <v>0</v>
      </c>
    </row>
    <row r="410" spans="1:8" ht="12.75">
      <c r="A410" s="5" t="s">
        <v>330</v>
      </c>
      <c r="B410" s="5"/>
      <c r="C410" s="5" t="s">
        <v>688</v>
      </c>
      <c r="D410" s="5" t="s">
        <v>1089</v>
      </c>
      <c r="E410" s="5" t="s">
        <v>1153</v>
      </c>
      <c r="G410" s="19">
        <v>1</v>
      </c>
      <c r="H410" s="33" t="s">
        <v>1177</v>
      </c>
    </row>
    <row r="411" spans="4:7" ht="12.75">
      <c r="D411" s="16" t="s">
        <v>1086</v>
      </c>
      <c r="G411" s="19">
        <v>0</v>
      </c>
    </row>
    <row r="412" spans="1:8" ht="12.75">
      <c r="A412" s="5" t="s">
        <v>331</v>
      </c>
      <c r="B412" s="5"/>
      <c r="C412" s="5" t="s">
        <v>689</v>
      </c>
      <c r="D412" s="5" t="s">
        <v>1090</v>
      </c>
      <c r="E412" s="5" t="s">
        <v>1153</v>
      </c>
      <c r="G412" s="19">
        <v>8</v>
      </c>
      <c r="H412" s="33" t="s">
        <v>1177</v>
      </c>
    </row>
    <row r="413" spans="4:7" ht="25.5">
      <c r="D413" s="16" t="s">
        <v>1091</v>
      </c>
      <c r="G413" s="19">
        <v>0</v>
      </c>
    </row>
    <row r="414" spans="1:8" ht="12.75">
      <c r="A414" s="5" t="s">
        <v>332</v>
      </c>
      <c r="B414" s="5"/>
      <c r="C414" s="5" t="s">
        <v>690</v>
      </c>
      <c r="D414" s="5" t="s">
        <v>1092</v>
      </c>
      <c r="E414" s="5" t="s">
        <v>1153</v>
      </c>
      <c r="G414" s="19">
        <v>1</v>
      </c>
      <c r="H414" s="33" t="s">
        <v>1177</v>
      </c>
    </row>
    <row r="415" spans="4:7" ht="25.5">
      <c r="D415" s="16" t="s">
        <v>1091</v>
      </c>
      <c r="G415" s="19">
        <v>0</v>
      </c>
    </row>
    <row r="416" spans="1:8" ht="12.75">
      <c r="A416" s="5" t="s">
        <v>333</v>
      </c>
      <c r="B416" s="5"/>
      <c r="C416" s="5" t="s">
        <v>691</v>
      </c>
      <c r="D416" s="5" t="s">
        <v>1093</v>
      </c>
      <c r="E416" s="5" t="s">
        <v>1153</v>
      </c>
      <c r="G416" s="19">
        <v>3</v>
      </c>
      <c r="H416" s="33" t="s">
        <v>1177</v>
      </c>
    </row>
    <row r="417" spans="4:7" ht="12.75">
      <c r="D417" s="16" t="s">
        <v>1086</v>
      </c>
      <c r="G417" s="19">
        <v>0</v>
      </c>
    </row>
    <row r="418" spans="1:8" ht="12.75">
      <c r="A418" s="5" t="s">
        <v>334</v>
      </c>
      <c r="B418" s="5"/>
      <c r="C418" s="5" t="s">
        <v>692</v>
      </c>
      <c r="D418" s="5" t="s">
        <v>1094</v>
      </c>
      <c r="E418" s="5" t="s">
        <v>1152</v>
      </c>
      <c r="G418" s="19">
        <v>1.687</v>
      </c>
      <c r="H418" s="33" t="s">
        <v>1177</v>
      </c>
    </row>
    <row r="419" spans="1:8" ht="12.75">
      <c r="A419" s="5" t="s">
        <v>335</v>
      </c>
      <c r="B419" s="5"/>
      <c r="C419" s="5" t="s">
        <v>694</v>
      </c>
      <c r="D419" s="5" t="s">
        <v>1096</v>
      </c>
      <c r="E419" s="5" t="s">
        <v>1161</v>
      </c>
      <c r="G419" s="19">
        <v>1313</v>
      </c>
      <c r="H419" s="33" t="s">
        <v>1177</v>
      </c>
    </row>
    <row r="420" spans="4:7" ht="12.75">
      <c r="D420" s="16" t="s">
        <v>1097</v>
      </c>
      <c r="G420" s="19">
        <v>0</v>
      </c>
    </row>
    <row r="421" spans="1:8" ht="12.75">
      <c r="A421" s="5" t="s">
        <v>336</v>
      </c>
      <c r="B421" s="5"/>
      <c r="C421" s="5" t="s">
        <v>695</v>
      </c>
      <c r="D421" s="5" t="s">
        <v>1098</v>
      </c>
      <c r="E421" s="5" t="s">
        <v>1153</v>
      </c>
      <c r="G421" s="19">
        <v>1</v>
      </c>
      <c r="H421" s="33" t="s">
        <v>1177</v>
      </c>
    </row>
    <row r="422" spans="4:7" ht="12.75">
      <c r="D422" s="16" t="s">
        <v>1086</v>
      </c>
      <c r="G422" s="19">
        <v>0</v>
      </c>
    </row>
    <row r="423" spans="1:8" ht="12.75">
      <c r="A423" s="5" t="s">
        <v>337</v>
      </c>
      <c r="B423" s="5"/>
      <c r="C423" s="5" t="s">
        <v>696</v>
      </c>
      <c r="D423" s="5" t="s">
        <v>1099</v>
      </c>
      <c r="E423" s="5" t="s">
        <v>1153</v>
      </c>
      <c r="G423" s="19">
        <v>5</v>
      </c>
      <c r="H423" s="33" t="s">
        <v>1177</v>
      </c>
    </row>
    <row r="424" spans="1:8" ht="12.75">
      <c r="A424" s="5" t="s">
        <v>338</v>
      </c>
      <c r="B424" s="5"/>
      <c r="C424" s="5" t="s">
        <v>697</v>
      </c>
      <c r="D424" s="5" t="s">
        <v>1100</v>
      </c>
      <c r="E424" s="5" t="s">
        <v>1153</v>
      </c>
      <c r="G424" s="19">
        <v>3</v>
      </c>
      <c r="H424" s="33" t="s">
        <v>1177</v>
      </c>
    </row>
    <row r="425" spans="1:8" ht="12.75">
      <c r="A425" s="5" t="s">
        <v>339</v>
      </c>
      <c r="B425" s="5"/>
      <c r="C425" s="5" t="s">
        <v>698</v>
      </c>
      <c r="D425" s="5" t="s">
        <v>1101</v>
      </c>
      <c r="E425" s="5" t="s">
        <v>1153</v>
      </c>
      <c r="G425" s="19">
        <v>3</v>
      </c>
      <c r="H425" s="33" t="s">
        <v>1177</v>
      </c>
    </row>
    <row r="426" spans="1:8" ht="12.75">
      <c r="A426" s="5" t="s">
        <v>340</v>
      </c>
      <c r="B426" s="5"/>
      <c r="C426" s="5" t="s">
        <v>699</v>
      </c>
      <c r="D426" s="5" t="s">
        <v>1102</v>
      </c>
      <c r="E426" s="5" t="s">
        <v>1153</v>
      </c>
      <c r="G426" s="19">
        <v>3</v>
      </c>
      <c r="H426" s="33" t="s">
        <v>1177</v>
      </c>
    </row>
    <row r="427" spans="1:8" ht="12.75">
      <c r="A427" s="5" t="s">
        <v>341</v>
      </c>
      <c r="B427" s="5"/>
      <c r="C427" s="5" t="s">
        <v>700</v>
      </c>
      <c r="D427" s="5" t="s">
        <v>1103</v>
      </c>
      <c r="E427" s="5" t="s">
        <v>1153</v>
      </c>
      <c r="G427" s="19">
        <v>2</v>
      </c>
      <c r="H427" s="33" t="s">
        <v>1177</v>
      </c>
    </row>
    <row r="428" spans="1:8" ht="12.75">
      <c r="A428" s="5" t="s">
        <v>342</v>
      </c>
      <c r="B428" s="5"/>
      <c r="C428" s="5" t="s">
        <v>701</v>
      </c>
      <c r="D428" s="5" t="s">
        <v>1104</v>
      </c>
      <c r="E428" s="5" t="s">
        <v>1153</v>
      </c>
      <c r="G428" s="19">
        <v>4</v>
      </c>
      <c r="H428" s="33" t="s">
        <v>1177</v>
      </c>
    </row>
    <row r="429" spans="1:8" ht="12.75">
      <c r="A429" s="5" t="s">
        <v>343</v>
      </c>
      <c r="B429" s="5"/>
      <c r="C429" s="5" t="s">
        <v>702</v>
      </c>
      <c r="D429" s="5" t="s">
        <v>1105</v>
      </c>
      <c r="E429" s="5" t="s">
        <v>1153</v>
      </c>
      <c r="G429" s="19">
        <v>2</v>
      </c>
      <c r="H429" s="33" t="s">
        <v>1177</v>
      </c>
    </row>
    <row r="430" spans="1:8" ht="12.75">
      <c r="A430" s="5" t="s">
        <v>344</v>
      </c>
      <c r="B430" s="5"/>
      <c r="C430" s="5" t="s">
        <v>703</v>
      </c>
      <c r="D430" s="5" t="s">
        <v>1106</v>
      </c>
      <c r="E430" s="5" t="s">
        <v>1152</v>
      </c>
      <c r="G430" s="19">
        <v>1.363</v>
      </c>
      <c r="H430" s="33" t="s">
        <v>1177</v>
      </c>
    </row>
    <row r="431" spans="1:8" ht="12.75">
      <c r="A431" s="5" t="s">
        <v>345</v>
      </c>
      <c r="B431" s="5"/>
      <c r="C431" s="5" t="s">
        <v>705</v>
      </c>
      <c r="D431" s="5" t="s">
        <v>1108</v>
      </c>
      <c r="E431" s="5" t="s">
        <v>1151</v>
      </c>
      <c r="G431" s="19">
        <v>40.91</v>
      </c>
      <c r="H431" s="33" t="s">
        <v>1177</v>
      </c>
    </row>
    <row r="432" spans="4:7" ht="12.75">
      <c r="D432" s="16" t="s">
        <v>1109</v>
      </c>
      <c r="F432" s="5" t="s">
        <v>1278</v>
      </c>
      <c r="G432" s="19">
        <v>40.91</v>
      </c>
    </row>
    <row r="433" spans="1:8" ht="12.75">
      <c r="A433" s="5" t="s">
        <v>346</v>
      </c>
      <c r="B433" s="5"/>
      <c r="C433" s="5" t="s">
        <v>706</v>
      </c>
      <c r="D433" s="5" t="s">
        <v>1110</v>
      </c>
      <c r="E433" s="5" t="s">
        <v>1154</v>
      </c>
      <c r="F433" s="5" t="s">
        <v>1324</v>
      </c>
      <c r="G433" s="19">
        <v>20.98</v>
      </c>
      <c r="H433" s="33" t="s">
        <v>1177</v>
      </c>
    </row>
    <row r="434" spans="1:8" ht="12.75">
      <c r="A434" s="7" t="s">
        <v>347</v>
      </c>
      <c r="B434" s="7"/>
      <c r="C434" s="7" t="s">
        <v>707</v>
      </c>
      <c r="D434" s="7" t="s">
        <v>1111</v>
      </c>
      <c r="E434" s="7" t="s">
        <v>1151</v>
      </c>
      <c r="G434" s="20">
        <v>2.2029</v>
      </c>
      <c r="H434" s="34" t="s">
        <v>1177</v>
      </c>
    </row>
    <row r="435" spans="6:7" ht="12.75">
      <c r="F435" s="7" t="s">
        <v>1325</v>
      </c>
      <c r="G435" s="20">
        <v>2.098</v>
      </c>
    </row>
    <row r="436" spans="1:7" ht="12.75">
      <c r="A436" s="7"/>
      <c r="B436" s="7"/>
      <c r="C436" s="7"/>
      <c r="D436" s="7"/>
      <c r="E436" s="7"/>
      <c r="F436" s="7" t="s">
        <v>1326</v>
      </c>
      <c r="G436" s="20">
        <v>0.1049</v>
      </c>
    </row>
    <row r="437" spans="1:8" ht="12.75">
      <c r="A437" s="5" t="s">
        <v>348</v>
      </c>
      <c r="B437" s="5"/>
      <c r="C437" s="5" t="s">
        <v>708</v>
      </c>
      <c r="D437" s="5" t="s">
        <v>1112</v>
      </c>
      <c r="E437" s="5" t="s">
        <v>1154</v>
      </c>
      <c r="G437" s="19">
        <v>20.98</v>
      </c>
      <c r="H437" s="33" t="s">
        <v>1177</v>
      </c>
    </row>
    <row r="438" spans="1:8" ht="12.75">
      <c r="A438" s="5" t="s">
        <v>349</v>
      </c>
      <c r="B438" s="5"/>
      <c r="C438" s="5" t="s">
        <v>709</v>
      </c>
      <c r="D438" s="5" t="s">
        <v>1113</v>
      </c>
      <c r="E438" s="5" t="s">
        <v>1151</v>
      </c>
      <c r="G438" s="19">
        <v>40.91</v>
      </c>
      <c r="H438" s="33" t="s">
        <v>1177</v>
      </c>
    </row>
    <row r="439" spans="4:7" ht="12.75">
      <c r="D439" s="16" t="s">
        <v>1109</v>
      </c>
      <c r="F439" s="5" t="s">
        <v>1278</v>
      </c>
      <c r="G439" s="19">
        <v>40.91</v>
      </c>
    </row>
    <row r="440" spans="1:8" ht="12.75">
      <c r="A440" s="7" t="s">
        <v>350</v>
      </c>
      <c r="B440" s="7"/>
      <c r="C440" s="7" t="s">
        <v>707</v>
      </c>
      <c r="D440" s="7" t="s">
        <v>1111</v>
      </c>
      <c r="E440" s="7" t="s">
        <v>1151</v>
      </c>
      <c r="G440" s="20">
        <v>42.9555</v>
      </c>
      <c r="H440" s="34" t="s">
        <v>1177</v>
      </c>
    </row>
    <row r="441" spans="6:7" ht="12.75">
      <c r="F441" s="7" t="s">
        <v>1297</v>
      </c>
      <c r="G441" s="20">
        <v>40.91</v>
      </c>
    </row>
    <row r="442" spans="1:7" ht="12.75">
      <c r="A442" s="7"/>
      <c r="B442" s="7"/>
      <c r="C442" s="7"/>
      <c r="D442" s="7"/>
      <c r="E442" s="7"/>
      <c r="F442" s="7" t="s">
        <v>1298</v>
      </c>
      <c r="G442" s="20">
        <v>2.0455</v>
      </c>
    </row>
    <row r="443" spans="1:8" ht="12.75">
      <c r="A443" s="5" t="s">
        <v>351</v>
      </c>
      <c r="B443" s="5"/>
      <c r="C443" s="5" t="s">
        <v>710</v>
      </c>
      <c r="D443" s="5" t="s">
        <v>1114</v>
      </c>
      <c r="E443" s="5" t="s">
        <v>1154</v>
      </c>
      <c r="F443" s="5" t="s">
        <v>1327</v>
      </c>
      <c r="G443" s="19">
        <v>31.1</v>
      </c>
      <c r="H443" s="33" t="s">
        <v>1177</v>
      </c>
    </row>
    <row r="444" spans="1:8" ht="12.75">
      <c r="A444" s="5" t="s">
        <v>352</v>
      </c>
      <c r="B444" s="5"/>
      <c r="C444" s="5" t="s">
        <v>711</v>
      </c>
      <c r="D444" s="5" t="s">
        <v>1115</v>
      </c>
      <c r="E444" s="5" t="s">
        <v>1151</v>
      </c>
      <c r="F444" s="5" t="s">
        <v>1328</v>
      </c>
      <c r="G444" s="19">
        <v>7.32</v>
      </c>
      <c r="H444" s="33" t="s">
        <v>1177</v>
      </c>
    </row>
    <row r="445" spans="1:8" ht="12.75">
      <c r="A445" s="5" t="s">
        <v>353</v>
      </c>
      <c r="B445" s="5"/>
      <c r="C445" s="5" t="s">
        <v>712</v>
      </c>
      <c r="D445" s="5" t="s">
        <v>1116</v>
      </c>
      <c r="E445" s="5" t="s">
        <v>1151</v>
      </c>
      <c r="G445" s="19">
        <v>40.91</v>
      </c>
      <c r="H445" s="33" t="s">
        <v>1177</v>
      </c>
    </row>
    <row r="446" spans="1:8" ht="12.75">
      <c r="A446" s="5" t="s">
        <v>354</v>
      </c>
      <c r="B446" s="5"/>
      <c r="C446" s="5" t="s">
        <v>713</v>
      </c>
      <c r="D446" s="5" t="s">
        <v>1117</v>
      </c>
      <c r="E446" s="5" t="s">
        <v>1152</v>
      </c>
      <c r="G446" s="19">
        <v>1.1116</v>
      </c>
      <c r="H446" s="33" t="s">
        <v>1177</v>
      </c>
    </row>
    <row r="447" spans="1:8" ht="12.75">
      <c r="A447" s="5" t="s">
        <v>355</v>
      </c>
      <c r="B447" s="5"/>
      <c r="C447" s="5" t="s">
        <v>715</v>
      </c>
      <c r="D447" s="5" t="s">
        <v>1119</v>
      </c>
      <c r="E447" s="5" t="s">
        <v>1151</v>
      </c>
      <c r="F447" s="5" t="s">
        <v>1329</v>
      </c>
      <c r="G447" s="19">
        <v>46.65</v>
      </c>
      <c r="H447" s="33" t="s">
        <v>1177</v>
      </c>
    </row>
    <row r="448" spans="1:8" ht="12.75">
      <c r="A448" s="5" t="s">
        <v>356</v>
      </c>
      <c r="B448" s="5"/>
      <c r="C448" s="5" t="s">
        <v>716</v>
      </c>
      <c r="D448" s="5" t="s">
        <v>1120</v>
      </c>
      <c r="E448" s="5" t="s">
        <v>1153</v>
      </c>
      <c r="G448" s="19">
        <v>6</v>
      </c>
      <c r="H448" s="33" t="s">
        <v>1177</v>
      </c>
    </row>
    <row r="449" spans="1:8" ht="12.75">
      <c r="A449" s="5" t="s">
        <v>357</v>
      </c>
      <c r="B449" s="5"/>
      <c r="C449" s="5" t="s">
        <v>717</v>
      </c>
      <c r="D449" s="5" t="s">
        <v>1121</v>
      </c>
      <c r="E449" s="5" t="s">
        <v>1153</v>
      </c>
      <c r="G449" s="19">
        <v>9</v>
      </c>
      <c r="H449" s="33" t="s">
        <v>1177</v>
      </c>
    </row>
    <row r="450" spans="1:8" ht="12.75">
      <c r="A450" s="5" t="s">
        <v>358</v>
      </c>
      <c r="B450" s="5"/>
      <c r="C450" s="5" t="s">
        <v>718</v>
      </c>
      <c r="D450" s="5" t="s">
        <v>1122</v>
      </c>
      <c r="E450" s="5" t="s">
        <v>1154</v>
      </c>
      <c r="G450" s="19">
        <v>67.1</v>
      </c>
      <c r="H450" s="33" t="s">
        <v>1177</v>
      </c>
    </row>
    <row r="451" spans="6:7" ht="12.75">
      <c r="F451" s="5" t="s">
        <v>1330</v>
      </c>
      <c r="G451" s="19">
        <v>17.31</v>
      </c>
    </row>
    <row r="452" spans="1:7" ht="12.75">
      <c r="A452" s="5"/>
      <c r="B452" s="5"/>
      <c r="C452" s="5"/>
      <c r="D452" s="5"/>
      <c r="E452" s="5"/>
      <c r="F452" s="5" t="s">
        <v>1331</v>
      </c>
      <c r="G452" s="19">
        <v>24</v>
      </c>
    </row>
    <row r="453" spans="1:7" ht="12.75">
      <c r="A453" s="5"/>
      <c r="B453" s="5"/>
      <c r="C453" s="5"/>
      <c r="D453" s="5"/>
      <c r="E453" s="5"/>
      <c r="F453" s="5" t="s">
        <v>1332</v>
      </c>
      <c r="G453" s="19">
        <v>25.79</v>
      </c>
    </row>
    <row r="454" spans="1:8" ht="12.75">
      <c r="A454" s="7" t="s">
        <v>359</v>
      </c>
      <c r="B454" s="7"/>
      <c r="C454" s="7" t="s">
        <v>719</v>
      </c>
      <c r="D454" s="7" t="s">
        <v>1123</v>
      </c>
      <c r="E454" s="7" t="s">
        <v>1154</v>
      </c>
      <c r="G454" s="20">
        <v>19.041</v>
      </c>
      <c r="H454" s="34" t="s">
        <v>1177</v>
      </c>
    </row>
    <row r="455" spans="6:7" ht="12.75">
      <c r="F455" s="7" t="s">
        <v>1333</v>
      </c>
      <c r="G455" s="20">
        <v>17.31</v>
      </c>
    </row>
    <row r="456" spans="1:7" ht="12.75">
      <c r="A456" s="7"/>
      <c r="B456" s="7"/>
      <c r="C456" s="7"/>
      <c r="D456" s="7"/>
      <c r="E456" s="7"/>
      <c r="F456" s="7" t="s">
        <v>1334</v>
      </c>
      <c r="G456" s="20">
        <v>1.731</v>
      </c>
    </row>
    <row r="457" spans="1:8" ht="12.75">
      <c r="A457" s="7" t="s">
        <v>360</v>
      </c>
      <c r="B457" s="7"/>
      <c r="C457" s="7" t="s">
        <v>720</v>
      </c>
      <c r="D457" s="7" t="s">
        <v>1124</v>
      </c>
      <c r="E457" s="7" t="s">
        <v>1154</v>
      </c>
      <c r="G457" s="20">
        <v>28.369</v>
      </c>
      <c r="H457" s="34" t="s">
        <v>1177</v>
      </c>
    </row>
    <row r="458" spans="6:7" ht="12.75">
      <c r="F458" s="7" t="s">
        <v>1335</v>
      </c>
      <c r="G458" s="20">
        <v>25.79</v>
      </c>
    </row>
    <row r="459" spans="1:7" ht="12.75">
      <c r="A459" s="7"/>
      <c r="B459" s="7"/>
      <c r="C459" s="7"/>
      <c r="D459" s="7"/>
      <c r="E459" s="7"/>
      <c r="F459" s="7" t="s">
        <v>1336</v>
      </c>
      <c r="G459" s="20">
        <v>2.579</v>
      </c>
    </row>
    <row r="460" spans="1:8" ht="12.75">
      <c r="A460" s="7" t="s">
        <v>361</v>
      </c>
      <c r="B460" s="7"/>
      <c r="C460" s="7" t="s">
        <v>721</v>
      </c>
      <c r="D460" s="7" t="s">
        <v>1125</v>
      </c>
      <c r="E460" s="7" t="s">
        <v>1154</v>
      </c>
      <c r="G460" s="20">
        <v>26.4</v>
      </c>
      <c r="H460" s="34" t="s">
        <v>1177</v>
      </c>
    </row>
    <row r="461" spans="6:7" ht="12.75">
      <c r="F461" s="7" t="s">
        <v>1337</v>
      </c>
      <c r="G461" s="20">
        <v>24</v>
      </c>
    </row>
    <row r="462" spans="1:7" ht="12.75">
      <c r="A462" s="7"/>
      <c r="B462" s="7"/>
      <c r="C462" s="7"/>
      <c r="D462" s="7"/>
      <c r="E462" s="7"/>
      <c r="F462" s="7" t="s">
        <v>1338</v>
      </c>
      <c r="G462" s="20">
        <v>2.4</v>
      </c>
    </row>
    <row r="463" spans="1:8" ht="12.75">
      <c r="A463" s="5" t="s">
        <v>362</v>
      </c>
      <c r="B463" s="5"/>
      <c r="C463" s="5" t="s">
        <v>722</v>
      </c>
      <c r="D463" s="5" t="s">
        <v>1126</v>
      </c>
      <c r="E463" s="5" t="s">
        <v>1151</v>
      </c>
      <c r="F463" s="5" t="s">
        <v>1329</v>
      </c>
      <c r="G463" s="19">
        <v>46.65</v>
      </c>
      <c r="H463" s="33" t="s">
        <v>1177</v>
      </c>
    </row>
    <row r="464" spans="1:8" ht="12.75">
      <c r="A464" s="7" t="s">
        <v>363</v>
      </c>
      <c r="B464" s="7"/>
      <c r="C464" s="7" t="s">
        <v>723</v>
      </c>
      <c r="D464" s="7" t="s">
        <v>1127</v>
      </c>
      <c r="E464" s="7" t="s">
        <v>1151</v>
      </c>
      <c r="G464" s="20">
        <v>48.9825</v>
      </c>
      <c r="H464" s="34" t="s">
        <v>1177</v>
      </c>
    </row>
    <row r="465" spans="6:7" ht="12.75">
      <c r="F465" s="7" t="s">
        <v>1339</v>
      </c>
      <c r="G465" s="20">
        <v>46.65</v>
      </c>
    </row>
    <row r="466" spans="1:7" ht="12.75">
      <c r="A466" s="7"/>
      <c r="B466" s="7"/>
      <c r="C466" s="7"/>
      <c r="D466" s="7"/>
      <c r="E466" s="7"/>
      <c r="F466" s="7" t="s">
        <v>1340</v>
      </c>
      <c r="G466" s="20">
        <v>2.3325</v>
      </c>
    </row>
    <row r="467" spans="1:8" ht="12.75">
      <c r="A467" s="5" t="s">
        <v>364</v>
      </c>
      <c r="B467" s="5"/>
      <c r="C467" s="5" t="s">
        <v>724</v>
      </c>
      <c r="D467" s="5" t="s">
        <v>1128</v>
      </c>
      <c r="E467" s="5" t="s">
        <v>1151</v>
      </c>
      <c r="F467" s="5" t="s">
        <v>1341</v>
      </c>
      <c r="G467" s="19">
        <v>48.691</v>
      </c>
      <c r="H467" s="33" t="s">
        <v>1177</v>
      </c>
    </row>
    <row r="468" spans="1:8" ht="12.75">
      <c r="A468" s="5" t="s">
        <v>365</v>
      </c>
      <c r="B468" s="5"/>
      <c r="C468" s="5" t="s">
        <v>725</v>
      </c>
      <c r="D468" s="5" t="s">
        <v>1129</v>
      </c>
      <c r="E468" s="5" t="s">
        <v>1154</v>
      </c>
      <c r="G468" s="19">
        <v>15.19</v>
      </c>
      <c r="H468" s="33" t="s">
        <v>1177</v>
      </c>
    </row>
    <row r="469" spans="4:7" ht="12.75">
      <c r="D469" s="16" t="s">
        <v>1130</v>
      </c>
      <c r="F469" s="5" t="s">
        <v>1342</v>
      </c>
      <c r="G469" s="19">
        <v>10.44</v>
      </c>
    </row>
    <row r="470" spans="1:7" ht="12.75">
      <c r="A470" s="5"/>
      <c r="B470" s="5"/>
      <c r="C470" s="5"/>
      <c r="D470" s="5"/>
      <c r="E470" s="5"/>
      <c r="F470" s="5" t="s">
        <v>1343</v>
      </c>
      <c r="G470" s="19">
        <v>4.75</v>
      </c>
    </row>
    <row r="471" spans="1:8" ht="12.75">
      <c r="A471" s="7" t="s">
        <v>366</v>
      </c>
      <c r="B471" s="7"/>
      <c r="C471" s="7" t="s">
        <v>723</v>
      </c>
      <c r="D471" s="7" t="s">
        <v>1127</v>
      </c>
      <c r="E471" s="7" t="s">
        <v>1151</v>
      </c>
      <c r="G471" s="20">
        <v>2.34715</v>
      </c>
      <c r="H471" s="34" t="s">
        <v>1177</v>
      </c>
    </row>
    <row r="472" spans="6:7" ht="12.75">
      <c r="F472" s="7" t="s">
        <v>1344</v>
      </c>
      <c r="G472" s="20">
        <v>2.041</v>
      </c>
    </row>
    <row r="473" spans="1:7" ht="12.75">
      <c r="A473" s="7"/>
      <c r="B473" s="7"/>
      <c r="C473" s="7"/>
      <c r="D473" s="7"/>
      <c r="E473" s="7"/>
      <c r="F473" s="7" t="s">
        <v>1345</v>
      </c>
      <c r="G473" s="20">
        <v>0.30615</v>
      </c>
    </row>
    <row r="474" spans="1:8" ht="12.75">
      <c r="A474" s="5" t="s">
        <v>367</v>
      </c>
      <c r="B474" s="5"/>
      <c r="C474" s="5" t="s">
        <v>726</v>
      </c>
      <c r="D474" s="5" t="s">
        <v>1131</v>
      </c>
      <c r="E474" s="5" t="s">
        <v>1152</v>
      </c>
      <c r="G474" s="19">
        <v>0.6568</v>
      </c>
      <c r="H474" s="33" t="s">
        <v>1177</v>
      </c>
    </row>
    <row r="475" spans="1:8" ht="12.75">
      <c r="A475" s="5" t="s">
        <v>368</v>
      </c>
      <c r="B475" s="5"/>
      <c r="C475" s="5" t="s">
        <v>728</v>
      </c>
      <c r="D475" s="5" t="s">
        <v>1133</v>
      </c>
      <c r="E475" s="5" t="s">
        <v>1151</v>
      </c>
      <c r="F475" s="5" t="s">
        <v>1346</v>
      </c>
      <c r="G475" s="19">
        <v>357.256</v>
      </c>
      <c r="H475" s="33" t="s">
        <v>1177</v>
      </c>
    </row>
    <row r="476" spans="1:8" ht="12.75">
      <c r="A476" s="5" t="s">
        <v>369</v>
      </c>
      <c r="B476" s="5"/>
      <c r="C476" s="5" t="s">
        <v>729</v>
      </c>
      <c r="D476" s="5" t="s">
        <v>1134</v>
      </c>
      <c r="E476" s="5" t="s">
        <v>1151</v>
      </c>
      <c r="F476" s="5" t="s">
        <v>1347</v>
      </c>
      <c r="G476" s="19">
        <v>599.972</v>
      </c>
      <c r="H476" s="33" t="s">
        <v>1177</v>
      </c>
    </row>
    <row r="477" spans="1:8" ht="12.75">
      <c r="A477" s="5" t="s">
        <v>370</v>
      </c>
      <c r="B477" s="5"/>
      <c r="C477" s="5" t="s">
        <v>731</v>
      </c>
      <c r="D477" s="5" t="s">
        <v>1136</v>
      </c>
      <c r="E477" s="5" t="s">
        <v>1151</v>
      </c>
      <c r="G477" s="19">
        <v>81.259</v>
      </c>
      <c r="H477" s="33" t="s">
        <v>1177</v>
      </c>
    </row>
    <row r="478" spans="1:8" ht="12.75">
      <c r="A478" s="5" t="s">
        <v>371</v>
      </c>
      <c r="B478" s="5"/>
      <c r="C478" s="5" t="s">
        <v>732</v>
      </c>
      <c r="D478" s="5" t="s">
        <v>1137</v>
      </c>
      <c r="E478" s="5" t="s">
        <v>1151</v>
      </c>
      <c r="G478" s="19">
        <v>40.91</v>
      </c>
      <c r="H478" s="33" t="s">
        <v>1177</v>
      </c>
    </row>
    <row r="479" spans="4:7" ht="12.75">
      <c r="D479" s="16" t="s">
        <v>1138</v>
      </c>
      <c r="F479" s="5" t="s">
        <v>1278</v>
      </c>
      <c r="G479" s="19">
        <v>40.91</v>
      </c>
    </row>
    <row r="480" spans="1:8" ht="12.75">
      <c r="A480" s="5" t="s">
        <v>372</v>
      </c>
      <c r="B480" s="5"/>
      <c r="C480" s="5" t="s">
        <v>733</v>
      </c>
      <c r="D480" s="5" t="s">
        <v>1139</v>
      </c>
      <c r="E480" s="5" t="s">
        <v>1151</v>
      </c>
      <c r="G480" s="19">
        <v>81.259</v>
      </c>
      <c r="H480" s="33" t="s">
        <v>1177</v>
      </c>
    </row>
    <row r="481" spans="1:8" ht="12.75">
      <c r="A481" s="5" t="s">
        <v>373</v>
      </c>
      <c r="B481" s="5"/>
      <c r="C481" s="5" t="s">
        <v>734</v>
      </c>
      <c r="D481" s="5" t="s">
        <v>1140</v>
      </c>
      <c r="E481" s="5" t="s">
        <v>1151</v>
      </c>
      <c r="G481" s="19">
        <v>40.91</v>
      </c>
      <c r="H481" s="33" t="s">
        <v>1177</v>
      </c>
    </row>
    <row r="482" spans="4:7" ht="12.75">
      <c r="D482" s="16" t="s">
        <v>1138</v>
      </c>
      <c r="G482" s="19">
        <v>0</v>
      </c>
    </row>
    <row r="483" spans="1:8" ht="12.75">
      <c r="A483" s="5" t="s">
        <v>374</v>
      </c>
      <c r="B483" s="5"/>
      <c r="C483" s="5" t="s">
        <v>736</v>
      </c>
      <c r="D483" s="5" t="s">
        <v>1142</v>
      </c>
      <c r="E483" s="5" t="s">
        <v>1153</v>
      </c>
      <c r="G483" s="19">
        <v>1</v>
      </c>
      <c r="H483" s="33" t="s">
        <v>1177</v>
      </c>
    </row>
    <row r="484" spans="1:8" ht="12.75">
      <c r="A484" s="5" t="s">
        <v>375</v>
      </c>
      <c r="B484" s="5"/>
      <c r="C484" s="5" t="s">
        <v>737</v>
      </c>
      <c r="D484" s="5" t="s">
        <v>1143</v>
      </c>
      <c r="E484" s="5" t="s">
        <v>1153</v>
      </c>
      <c r="G484" s="19">
        <v>1</v>
      </c>
      <c r="H484" s="33" t="s">
        <v>1177</v>
      </c>
    </row>
    <row r="485" spans="1:8" ht="12.75">
      <c r="A485" s="5" t="s">
        <v>376</v>
      </c>
      <c r="B485" s="5"/>
      <c r="C485" s="5" t="s">
        <v>738</v>
      </c>
      <c r="D485" s="5" t="s">
        <v>1144</v>
      </c>
      <c r="E485" s="5" t="s">
        <v>1153</v>
      </c>
      <c r="G485" s="19">
        <v>1</v>
      </c>
      <c r="H485" s="33" t="s">
        <v>1177</v>
      </c>
    </row>
    <row r="487" ht="11.25" customHeight="1">
      <c r="A487" s="10" t="s">
        <v>377</v>
      </c>
    </row>
    <row r="488" spans="1:7" ht="12.75">
      <c r="A488" s="86"/>
      <c r="B488" s="78"/>
      <c r="C488" s="78"/>
      <c r="D488" s="78"/>
      <c r="E488" s="78"/>
      <c r="F488" s="78"/>
      <c r="G488" s="78"/>
    </row>
  </sheetData>
  <sheetProtection/>
  <mergeCells count="18">
    <mergeCell ref="A488:G488"/>
    <mergeCell ref="A6:B7"/>
    <mergeCell ref="C6:D7"/>
    <mergeCell ref="E6:E7"/>
    <mergeCell ref="F6:H7"/>
    <mergeCell ref="A8:B9"/>
    <mergeCell ref="C8:D9"/>
    <mergeCell ref="E8:E9"/>
    <mergeCell ref="F8:H9"/>
    <mergeCell ref="A1:H1"/>
    <mergeCell ref="A2:B3"/>
    <mergeCell ref="C2:D3"/>
    <mergeCell ref="E2:E3"/>
    <mergeCell ref="F2:H3"/>
    <mergeCell ref="A4:B5"/>
    <mergeCell ref="C4:D5"/>
    <mergeCell ref="E4:E5"/>
    <mergeCell ref="F4:H5"/>
  </mergeCells>
  <printOptions/>
  <pageMargins left="0.394" right="0.394" top="0.591" bottom="0.591" header="0.5" footer="0.5"/>
  <pageSetup fitToHeight="0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Hefner</dc:creator>
  <cp:keywords/>
  <dc:description/>
  <cp:lastModifiedBy>Kadlecova</cp:lastModifiedBy>
  <dcterms:created xsi:type="dcterms:W3CDTF">2018-03-29T12:01:25Z</dcterms:created>
  <dcterms:modified xsi:type="dcterms:W3CDTF">2018-04-09T12:47:28Z</dcterms:modified>
  <cp:category/>
  <cp:version/>
  <cp:contentType/>
  <cp:contentStatus/>
</cp:coreProperties>
</file>